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lenametall.sharepoint.com/sites/Dokumenter/Delte dokumenter/Felles/Alu-Mast/Prosjekt Alu-Mast/ALU CALC/"/>
    </mc:Choice>
  </mc:AlternateContent>
  <xr:revisionPtr revIDLastSave="0" documentId="8_{CFDF145B-24BC-47FD-8A96-8F8ADC651C97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Vinkelmast - Bardun" sheetId="1" r:id="rId1"/>
    <sheet name="E-Bæremast" sheetId="2" r:id="rId2"/>
    <sheet name="Vinkelmast - Strever" sheetId="3" r:id="rId3"/>
    <sheet name="Ark 2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3" l="1"/>
  <c r="D50" i="3"/>
  <c r="D48" i="3"/>
  <c r="E29" i="3"/>
  <c r="E27" i="3"/>
  <c r="E31" i="3" s="1"/>
  <c r="E25" i="3"/>
  <c r="E21" i="3"/>
  <c r="G9" i="3"/>
  <c r="E23" i="3" s="1"/>
  <c r="F9" i="3"/>
  <c r="D51" i="3" s="1"/>
  <c r="D9" i="3"/>
  <c r="C9" i="3"/>
  <c r="D54" i="3" s="1"/>
  <c r="B9" i="3"/>
  <c r="D47" i="3" s="1"/>
  <c r="B59" i="2"/>
  <c r="F53" i="2"/>
  <c r="D32" i="2"/>
  <c r="D30" i="2"/>
  <c r="D28" i="2"/>
  <c r="D26" i="2"/>
  <c r="F21" i="2"/>
  <c r="G21" i="2" s="1"/>
  <c r="E19" i="2"/>
  <c r="E18" i="2"/>
  <c r="G9" i="2"/>
  <c r="E17" i="2" s="1"/>
  <c r="F9" i="2"/>
  <c r="D62" i="2" s="1"/>
  <c r="D9" i="2"/>
  <c r="C9" i="2"/>
  <c r="C59" i="2" s="1"/>
  <c r="B9" i="2"/>
  <c r="D47" i="1"/>
  <c r="D44" i="1"/>
  <c r="D42" i="1"/>
  <c r="E35" i="1"/>
  <c r="E22" i="1"/>
  <c r="E24" i="1" s="1"/>
  <c r="E20" i="1"/>
  <c r="G9" i="1"/>
  <c r="E18" i="1" s="1"/>
  <c r="F9" i="1"/>
  <c r="D45" i="1" s="1"/>
  <c r="D9" i="1"/>
  <c r="C9" i="1"/>
  <c r="D43" i="1" s="1"/>
  <c r="D46" i="1" s="1"/>
  <c r="B9" i="1"/>
  <c r="D41" i="1" s="1"/>
  <c r="E28" i="1" l="1"/>
  <c r="E30" i="1" s="1"/>
  <c r="E26" i="1"/>
  <c r="E33" i="1" s="1"/>
  <c r="D61" i="2"/>
  <c r="F67" i="2" s="1"/>
  <c r="G67" i="2" s="1"/>
  <c r="E33" i="3"/>
  <c r="E37" i="3" s="1"/>
  <c r="F72" i="3" s="1"/>
  <c r="G72" i="3" s="1"/>
  <c r="D48" i="1"/>
  <c r="E35" i="2"/>
  <c r="E40" i="2" s="1"/>
  <c r="E43" i="2" s="1"/>
  <c r="E46" i="2" s="1"/>
  <c r="F51" i="2" s="1"/>
  <c r="G51" i="2" s="1"/>
  <c r="E50" i="1"/>
  <c r="E55" i="1" s="1"/>
  <c r="E58" i="1" s="1"/>
  <c r="E61" i="1" s="1"/>
  <c r="D29" i="2"/>
  <c r="E19" i="3"/>
  <c r="D49" i="3"/>
  <c r="D27" i="2"/>
  <c r="D31" i="2"/>
  <c r="D59" i="2"/>
  <c r="D52" i="3"/>
  <c r="D33" i="2"/>
  <c r="E56" i="3"/>
  <c r="E61" i="3" s="1"/>
  <c r="E64" i="3" s="1"/>
  <c r="E67" i="3" s="1"/>
  <c r="E35" i="3" l="1"/>
  <c r="E66" i="1"/>
  <c r="F66" i="1" s="1"/>
</calcChain>
</file>

<file path=xl/sharedStrings.xml><?xml version="1.0" encoding="utf-8"?>
<sst xmlns="http://schemas.openxmlformats.org/spreadsheetml/2006/main" count="303" uniqueCount="127">
  <si>
    <t>SINTEF Raufoss Manufacturing AS</t>
  </si>
  <si>
    <t>ALU-calc</t>
  </si>
  <si>
    <t>Mekanisk dimensjonering av aluminiumstolper</t>
  </si>
  <si>
    <t>Lena Metall as</t>
  </si>
  <si>
    <t>Enkel mast med bardun</t>
  </si>
  <si>
    <t>Prosjekt:</t>
  </si>
  <si>
    <t>xxx</t>
  </si>
  <si>
    <t>Stolpe ID:</t>
  </si>
  <si>
    <t>Dato:</t>
  </si>
  <si>
    <t>Velg dimensjon</t>
  </si>
  <si>
    <t>Tverrsnittsareal</t>
  </si>
  <si>
    <t>Treghetsmom.</t>
  </si>
  <si>
    <t>Motstandsmom.</t>
  </si>
  <si>
    <t>E-modul</t>
  </si>
  <si>
    <t>Flytegrense</t>
  </si>
  <si>
    <t>Vekt</t>
  </si>
  <si>
    <t>Diameter [mm]</t>
  </si>
  <si>
    <t>A [mm^2]</t>
  </si>
  <si>
    <t>I [mm^4</t>
  </si>
  <si>
    <t>W [mm^3]</t>
  </si>
  <si>
    <t>E [Mpa]</t>
  </si>
  <si>
    <t>fo [Mpa]</t>
  </si>
  <si>
    <t>m [kg/m]</t>
  </si>
  <si>
    <t>Legg inn data for E-vinkelmast med bardun</t>
  </si>
  <si>
    <t>Legg inn laster fra f.eks. netLIN:</t>
  </si>
  <si>
    <t>Lasttilfelle</t>
  </si>
  <si>
    <t>Islast Ny endemast nord</t>
  </si>
  <si>
    <t>Høyde over jordbånd: Hjt</t>
  </si>
  <si>
    <t>mm</t>
  </si>
  <si>
    <t>Vindlast: qh</t>
  </si>
  <si>
    <t>N/m^2</t>
  </si>
  <si>
    <t>Total horisontal-last: PHtot</t>
  </si>
  <si>
    <t>N</t>
  </si>
  <si>
    <t>Vinkel</t>
  </si>
  <si>
    <t>gon</t>
  </si>
  <si>
    <t>Total vertikal-last: PVtot</t>
  </si>
  <si>
    <t>Bardunstign.: X:1</t>
  </si>
  <si>
    <t>Linestrekk</t>
  </si>
  <si>
    <t>FH1</t>
  </si>
  <si>
    <t>Materialfaktor</t>
  </si>
  <si>
    <t>FH2</t>
  </si>
  <si>
    <t>Vekt av stolpe over bakken: PVs= Hjt*m</t>
  </si>
  <si>
    <t>Vindlast stolpe red. til stolpetopp:</t>
  </si>
  <si>
    <t>PHs=Dm*Hjt*qh/2</t>
  </si>
  <si>
    <t>Horisontal vinkellast: Hv= (FH1+FH2)*sin(vinkel/2)</t>
  </si>
  <si>
    <t>Horisontal last som tas opp av bardun: PHb=Hv+Phtot+PHs</t>
  </si>
  <si>
    <t>Vertikal last-komponent i bardun: PVb= PHb*X</t>
  </si>
  <si>
    <t>Strekk i bardun: PB=SQRT(PHb^2+PVb^2)</t>
  </si>
  <si>
    <t>Tverrsnitt bardunvaier: Btverr=PB*1.6/1420</t>
  </si>
  <si>
    <t>mm^2</t>
  </si>
  <si>
    <t>Vertikal last i stolpen: PVtot+PVb+PVs</t>
  </si>
  <si>
    <t>Knekklengde: Lk= 0.7*Hjt</t>
  </si>
  <si>
    <t>Beregning av Knekklast:</t>
  </si>
  <si>
    <t>Reduksjonsfaktor for knekklast på Aluminiumsprofiler etter Eurocode 9</t>
  </si>
  <si>
    <t>Knekningsklasse for 6082-T6:</t>
  </si>
  <si>
    <t>A</t>
  </si>
  <si>
    <t>EC-9 P1-1 Table 6.1b</t>
  </si>
  <si>
    <t>A = Tverrsnittsareal</t>
  </si>
  <si>
    <t>mm2</t>
  </si>
  <si>
    <t>E = E-modul</t>
  </si>
  <si>
    <t>MPa</t>
  </si>
  <si>
    <t>I = Treghetsmoment</t>
  </si>
  <si>
    <t>mm4</t>
  </si>
  <si>
    <t>gammaM1= Materialfaktor</t>
  </si>
  <si>
    <t>EC-9 P1-1 6.1.3</t>
  </si>
  <si>
    <t>fo = karakteristisk flytgrense</t>
  </si>
  <si>
    <t>i = treghetsradius sqrt(I/A)</t>
  </si>
  <si>
    <t>Lk = Knekklengde = 0.7*Hj</t>
  </si>
  <si>
    <t>Ncr = Eulerlast (PI^2EI)/Lk^2</t>
  </si>
  <si>
    <t>Slanhetsparameter lambda_c</t>
  </si>
  <si>
    <t>Klasse A legering:</t>
  </si>
  <si>
    <t>alfa=</t>
  </si>
  <si>
    <t>lambda_0</t>
  </si>
  <si>
    <t>Reduksjonsfaktor:</t>
  </si>
  <si>
    <t>Bæreevne for vertikallast:</t>
  </si>
  <si>
    <t>kappa = 1</t>
  </si>
  <si>
    <t>NA - Gjelder profiler med langsgående sveis</t>
  </si>
  <si>
    <t>Aeff = A</t>
  </si>
  <si>
    <t>Effektivt areal = A for tverrrsnitt klasse 1-3 (EC-9 P1-1 6.1.4)</t>
  </si>
  <si>
    <t>Utnyttelsesgrad i forhold til knekklast [%]:</t>
  </si>
  <si>
    <t>U=</t>
  </si>
  <si>
    <t>Alu Mast System</t>
  </si>
  <si>
    <t>Enkel bæremast</t>
  </si>
  <si>
    <t>m [N/mm]</t>
  </si>
  <si>
    <t>Legg inn data for E-bæremast</t>
  </si>
  <si>
    <t>Ubalansert snø</t>
  </si>
  <si>
    <t>Lastvirkning per stolpe [N]:</t>
  </si>
  <si>
    <t>Vekt av stolpe over bakken:</t>
  </si>
  <si>
    <t>PVs = m*Hjt</t>
  </si>
  <si>
    <t>Knekklengde:</t>
  </si>
  <si>
    <t>Lk= 2*Hjt</t>
  </si>
  <si>
    <t>Vindlast redusert til stolpetopp:</t>
  </si>
  <si>
    <t>PHs= Dm*Hjt*qH/2</t>
  </si>
  <si>
    <t>Kontroll av utbøying pga tverrlast, Phtot + PHs: [mm]</t>
  </si>
  <si>
    <t>e=</t>
  </si>
  <si>
    <t>Lk = Knekklengde = 2*Hj</t>
  </si>
  <si>
    <t>Utnyttelsesgrad i forhold til knekklast [%]: U= (PVtot + PVs)/Nb,Rd*100</t>
  </si>
  <si>
    <t>Beregning av moment i jordbånd: [Nmm]</t>
  </si>
  <si>
    <t>Med=(PHtot+PHs)*Hjt</t>
  </si>
  <si>
    <t>Elastisk motstandsmoment: Wel=I/y</t>
  </si>
  <si>
    <t>Momentkapasitet for ren bøying, MRd= fd*Wel</t>
  </si>
  <si>
    <t>Ø</t>
  </si>
  <si>
    <t>Wel</t>
  </si>
  <si>
    <t>MRd= [Nmm]</t>
  </si>
  <si>
    <t>Dimensjonerende aksialkraft: NEd=PVtot+PVs</t>
  </si>
  <si>
    <t>Aksialkraft-kapasitet i trykk [N]:</t>
  </si>
  <si>
    <t>NRd=fd*A</t>
  </si>
  <si>
    <t>Kombinasjon av aksialkraft og moment:</t>
  </si>
  <si>
    <t>(Eurocode-9, EN 1999-1-1:2007: 6.2.9.2)</t>
  </si>
  <si>
    <t>Kontroll av kapasitet for kombinasjon:</t>
  </si>
  <si>
    <t>Utviklet av SINTEF Manufacturing</t>
  </si>
  <si>
    <t>Enkel mast med strever</t>
  </si>
  <si>
    <t>Legg inn data for E-vinkelmast med strever</t>
  </si>
  <si>
    <t>Max is, våt snø</t>
  </si>
  <si>
    <t>Streverstign.: X:1</t>
  </si>
  <si>
    <t>Lengde på strever over bakken: Lst= SQRT(Hjt^2+(Hjt/X)^2)</t>
  </si>
  <si>
    <t>Vekt av strever: PVst = Lst*m</t>
  </si>
  <si>
    <t>Knekkl. strever: Lkst= 0.7*Lst</t>
  </si>
  <si>
    <t>PHs=1.5*Dm*Hjt*qh/2</t>
  </si>
  <si>
    <t>Horisontal last som tas opp av strever: PHs=Hv+Phtot+PHs</t>
  </si>
  <si>
    <t>Vertikal-last i strever: PSvert= PHs*X+PVst</t>
  </si>
  <si>
    <t>Vertikal last i stolpen: Pvtot-PSvert+PVs</t>
  </si>
  <si>
    <t>Trykk i strever: PS=SQRT(PHs^2+PSvert^2)</t>
  </si>
  <si>
    <t>Tverrsnittsdata</t>
  </si>
  <si>
    <t>I</t>
  </si>
  <si>
    <t>Rp0.2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</si>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</sst>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"/>
    <numFmt numFmtId="166" formatCode="0.0%"/>
    <numFmt numFmtId="167" formatCode="0.00000"/>
    <numFmt numFmtId="168" formatCode="d\.\ mmmyyyy"/>
  </numFmts>
  <fonts count="12" x14ac:knownFonts="1">
    <font>
      <sz val="10"/>
      <color rgb="FF000000"/>
      <name val="Arial"/>
      <scheme val="minor"/>
    </font>
    <font>
      <b/>
      <sz val="14"/>
      <color rgb="FF000000"/>
      <name val="Times"/>
    </font>
    <font>
      <sz val="10"/>
      <name val="Arial"/>
    </font>
    <font>
      <sz val="10"/>
      <color theme="1"/>
      <name val="Times"/>
    </font>
    <font>
      <b/>
      <sz val="22"/>
      <color theme="1"/>
      <name val="Times"/>
    </font>
    <font>
      <sz val="10"/>
      <color rgb="FF000000"/>
      <name val="Times"/>
    </font>
    <font>
      <b/>
      <sz val="11"/>
      <color rgb="FF000000"/>
      <name val="Times"/>
    </font>
    <font>
      <sz val="11"/>
      <color rgb="FF000000"/>
      <name val="Times"/>
    </font>
    <font>
      <b/>
      <sz val="18"/>
      <color rgb="FF153D64"/>
      <name val="Times"/>
    </font>
    <font>
      <sz val="12"/>
      <color rgb="FF000000"/>
      <name val="Times"/>
    </font>
    <font>
      <sz val="11"/>
      <color rgb="FF000000"/>
      <name val="Calibri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rgb="FFFFC000"/>
        <bgColor rgb="FFFFC000"/>
      </patternFill>
    </fill>
    <fill>
      <patternFill patternType="solid">
        <fgColor rgb="FFFFD966"/>
        <bgColor rgb="FFFFD966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2" borderId="4" xfId="0" applyFont="1" applyFill="1" applyBorder="1"/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/>
    </xf>
    <xf numFmtId="0" fontId="3" fillId="0" borderId="0" xfId="0" applyFont="1"/>
    <xf numFmtId="0" fontId="5" fillId="0" borderId="0" xfId="0" applyFont="1"/>
    <xf numFmtId="0" fontId="6" fillId="2" borderId="7" xfId="0" applyFont="1" applyFill="1" applyBorder="1"/>
    <xf numFmtId="0" fontId="3" fillId="2" borderId="11" xfId="0" applyFont="1" applyFill="1" applyBorder="1"/>
    <xf numFmtId="0" fontId="3" fillId="2" borderId="17" xfId="0" applyFont="1" applyFill="1" applyBorder="1"/>
    <xf numFmtId="0" fontId="7" fillId="2" borderId="7" xfId="0" applyFont="1" applyFill="1" applyBorder="1"/>
    <xf numFmtId="0" fontId="7" fillId="0" borderId="19" xfId="0" applyFont="1" applyBorder="1" applyAlignment="1">
      <alignment horizontal="center"/>
    </xf>
    <xf numFmtId="0" fontId="3" fillId="2" borderId="8" xfId="0" applyFont="1" applyFill="1" applyBorder="1"/>
    <xf numFmtId="0" fontId="4" fillId="2" borderId="11" xfId="0" applyFont="1" applyFill="1" applyBorder="1" applyAlignment="1">
      <alignment vertical="center"/>
    </xf>
    <xf numFmtId="0" fontId="7" fillId="0" borderId="22" xfId="0" applyFont="1" applyBorder="1" applyAlignment="1">
      <alignment horizontal="center"/>
    </xf>
    <xf numFmtId="0" fontId="4" fillId="2" borderId="10" xfId="0" applyFont="1" applyFill="1" applyBorder="1" applyAlignment="1">
      <alignment vertical="center"/>
    </xf>
    <xf numFmtId="0" fontId="7" fillId="2" borderId="24" xfId="0" applyFont="1" applyFill="1" applyBorder="1"/>
    <xf numFmtId="0" fontId="7" fillId="0" borderId="25" xfId="0" applyFont="1" applyBorder="1" applyAlignment="1">
      <alignment horizontal="center"/>
    </xf>
    <xf numFmtId="0" fontId="3" fillId="2" borderId="26" xfId="0" applyFont="1" applyFill="1" applyBorder="1"/>
    <xf numFmtId="0" fontId="3" fillId="2" borderId="27" xfId="0" applyFont="1" applyFill="1" applyBorder="1"/>
    <xf numFmtId="0" fontId="3" fillId="2" borderId="26" xfId="0" applyFont="1" applyFill="1" applyBorder="1" applyAlignment="1">
      <alignment vertical="top"/>
    </xf>
    <xf numFmtId="0" fontId="3" fillId="2" borderId="28" xfId="0" applyFont="1" applyFill="1" applyBorder="1"/>
    <xf numFmtId="0" fontId="7" fillId="2" borderId="11" xfId="0" applyFont="1" applyFill="1" applyBorder="1"/>
    <xf numFmtId="0" fontId="3" fillId="2" borderId="29" xfId="0" applyFont="1" applyFill="1" applyBorder="1"/>
    <xf numFmtId="0" fontId="7" fillId="2" borderId="11" xfId="0" applyFont="1" applyFill="1" applyBorder="1" applyAlignment="1">
      <alignment horizontal="right"/>
    </xf>
    <xf numFmtId="0" fontId="7" fillId="0" borderId="25" xfId="0" applyFont="1" applyBorder="1" applyAlignment="1">
      <alignment horizontal="right"/>
    </xf>
    <xf numFmtId="164" fontId="7" fillId="2" borderId="11" xfId="0" applyNumberFormat="1" applyFont="1" applyFill="1" applyBorder="1" applyAlignment="1">
      <alignment horizontal="right"/>
    </xf>
    <xf numFmtId="0" fontId="3" fillId="2" borderId="7" xfId="0" applyFont="1" applyFill="1" applyBorder="1"/>
    <xf numFmtId="0" fontId="7" fillId="2" borderId="30" xfId="0" applyFont="1" applyFill="1" applyBorder="1"/>
    <xf numFmtId="0" fontId="7" fillId="0" borderId="19" xfId="0" applyFont="1" applyBorder="1"/>
    <xf numFmtId="0" fontId="7" fillId="0" borderId="19" xfId="0" applyFont="1" applyBorder="1" applyAlignment="1">
      <alignment horizontal="right"/>
    </xf>
    <xf numFmtId="0" fontId="7" fillId="0" borderId="22" xfId="0" applyFont="1" applyBorder="1" applyAlignment="1">
      <alignment horizontal="right"/>
    </xf>
    <xf numFmtId="0" fontId="7" fillId="2" borderId="29" xfId="0" applyFont="1" applyFill="1" applyBorder="1"/>
    <xf numFmtId="0" fontId="3" fillId="3" borderId="11" xfId="0" applyFont="1" applyFill="1" applyBorder="1"/>
    <xf numFmtId="164" fontId="7" fillId="3" borderId="11" xfId="0" applyNumberFormat="1" applyFont="1" applyFill="1" applyBorder="1" applyAlignment="1">
      <alignment horizontal="right"/>
    </xf>
    <xf numFmtId="0" fontId="7" fillId="3" borderId="11" xfId="0" applyFont="1" applyFill="1" applyBorder="1"/>
    <xf numFmtId="1" fontId="7" fillId="2" borderId="11" xfId="0" applyNumberFormat="1" applyFont="1" applyFill="1" applyBorder="1" applyAlignment="1">
      <alignment horizontal="right"/>
    </xf>
    <xf numFmtId="0" fontId="7" fillId="2" borderId="11" xfId="0" applyFont="1" applyFill="1" applyBorder="1" applyAlignment="1">
      <alignment horizontal="center"/>
    </xf>
    <xf numFmtId="165" fontId="7" fillId="2" borderId="11" xfId="0" applyNumberFormat="1" applyFont="1" applyFill="1" applyBorder="1" applyAlignment="1">
      <alignment horizontal="right"/>
    </xf>
    <xf numFmtId="0" fontId="7" fillId="4" borderId="11" xfId="0" applyFont="1" applyFill="1" applyBorder="1"/>
    <xf numFmtId="166" fontId="7" fillId="4" borderId="11" xfId="0" applyNumberFormat="1" applyFont="1" applyFill="1" applyBorder="1" applyAlignment="1">
      <alignment horizontal="right"/>
    </xf>
    <xf numFmtId="0" fontId="3" fillId="2" borderId="24" xfId="0" applyFont="1" applyFill="1" applyBorder="1"/>
    <xf numFmtId="0" fontId="7" fillId="0" borderId="6" xfId="0" applyFont="1" applyBorder="1"/>
    <xf numFmtId="0" fontId="7" fillId="0" borderId="33" xfId="0" applyFont="1" applyBorder="1" applyAlignment="1">
      <alignment horizontal="right"/>
    </xf>
    <xf numFmtId="0" fontId="5" fillId="2" borderId="11" xfId="0" applyFont="1" applyFill="1" applyBorder="1" applyAlignment="1">
      <alignment horizontal="right"/>
    </xf>
    <xf numFmtId="0" fontId="5" fillId="2" borderId="11" xfId="0" applyFont="1" applyFill="1" applyBorder="1"/>
    <xf numFmtId="0" fontId="7" fillId="4" borderId="11" xfId="0" applyFont="1" applyFill="1" applyBorder="1" applyAlignment="1">
      <alignment horizontal="right"/>
    </xf>
    <xf numFmtId="164" fontId="7" fillId="4" borderId="11" xfId="0" applyNumberFormat="1" applyFont="1" applyFill="1" applyBorder="1" applyAlignment="1">
      <alignment horizontal="right"/>
    </xf>
    <xf numFmtId="167" fontId="7" fillId="2" borderId="11" xfId="0" applyNumberFormat="1" applyFont="1" applyFill="1" applyBorder="1" applyAlignment="1">
      <alignment horizontal="right"/>
    </xf>
    <xf numFmtId="0" fontId="3" fillId="4" borderId="11" xfId="0" applyFont="1" applyFill="1" applyBorder="1"/>
    <xf numFmtId="2" fontId="7" fillId="4" borderId="11" xfId="0" applyNumberFormat="1" applyFont="1" applyFill="1" applyBorder="1" applyAlignment="1">
      <alignment horizontal="right"/>
    </xf>
    <xf numFmtId="0" fontId="7" fillId="0" borderId="22" xfId="0" applyFont="1" applyBorder="1"/>
    <xf numFmtId="0" fontId="3" fillId="0" borderId="22" xfId="0" applyFont="1" applyBorder="1"/>
    <xf numFmtId="168" fontId="7" fillId="0" borderId="25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164" fontId="10" fillId="0" borderId="0" xfId="0" applyNumberFormat="1" applyFont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4" fillId="2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20" xfId="0" applyFont="1" applyBorder="1"/>
    <xf numFmtId="0" fontId="2" fillId="0" borderId="23" xfId="0" applyFont="1" applyBorder="1"/>
    <xf numFmtId="0" fontId="7" fillId="2" borderId="8" xfId="0" applyFont="1" applyFill="1" applyBorder="1" applyAlignment="1">
      <alignment horizontal="left"/>
    </xf>
    <xf numFmtId="0" fontId="2" fillId="0" borderId="9" xfId="0" applyFont="1" applyBorder="1"/>
    <xf numFmtId="0" fontId="2" fillId="0" borderId="10" xfId="0" applyFont="1" applyBorder="1"/>
    <xf numFmtId="0" fontId="8" fillId="2" borderId="12" xfId="0" applyFont="1" applyFill="1" applyBorder="1" applyAlignment="1">
      <alignment horizontal="center" vertical="center"/>
    </xf>
    <xf numFmtId="0" fontId="2" fillId="0" borderId="13" xfId="0" applyFont="1" applyBorder="1"/>
    <xf numFmtId="0" fontId="2" fillId="0" borderId="18" xfId="0" applyFont="1" applyBorder="1"/>
    <xf numFmtId="0" fontId="2" fillId="0" borderId="21" xfId="0" applyFont="1" applyBorder="1"/>
    <xf numFmtId="0" fontId="6" fillId="2" borderId="16" xfId="0" applyFont="1" applyFill="1" applyBorder="1"/>
    <xf numFmtId="0" fontId="7" fillId="2" borderId="8" xfId="0" applyFont="1" applyFill="1" applyBorder="1"/>
    <xf numFmtId="0" fontId="7" fillId="2" borderId="16" xfId="0" applyFont="1" applyFill="1" applyBorder="1"/>
    <xf numFmtId="0" fontId="9" fillId="2" borderId="8" xfId="0" applyFont="1" applyFill="1" applyBorder="1"/>
    <xf numFmtId="0" fontId="7" fillId="3" borderId="16" xfId="0" applyFont="1" applyFill="1" applyBorder="1"/>
    <xf numFmtId="0" fontId="7" fillId="4" borderId="16" xfId="0" applyFont="1" applyFill="1" applyBorder="1"/>
    <xf numFmtId="0" fontId="3" fillId="2" borderId="12" xfId="0" applyFont="1" applyFill="1" applyBorder="1"/>
    <xf numFmtId="0" fontId="2" fillId="0" borderId="31" xfId="0" applyFont="1" applyBorder="1"/>
    <xf numFmtId="0" fontId="2" fillId="0" borderId="32" xfId="0" applyFont="1" applyBorder="1"/>
    <xf numFmtId="0" fontId="5" fillId="2" borderId="8" xfId="0" applyFont="1" applyFill="1" applyBorder="1"/>
    <xf numFmtId="0" fontId="3" fillId="2" borderId="17" xfId="0" applyFont="1" applyFill="1" applyBorder="1"/>
    <xf numFmtId="0" fontId="2" fillId="0" borderId="34" xfId="0" applyFont="1" applyBorder="1"/>
    <xf numFmtId="0" fontId="2" fillId="0" borderId="35" xfId="0" applyFont="1" applyBorder="1"/>
    <xf numFmtId="0" fontId="10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7" Type="http://schemas.openxmlformats.org/officeDocument/2006/relationships/image" Target="../media/image6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3.png"/><Relationship Id="rId6" Type="http://schemas.openxmlformats.org/officeDocument/2006/relationships/image" Target="../media/image6.png"/><Relationship Id="rId5" Type="http://schemas.openxmlformats.org/officeDocument/2006/relationships/image" Target="../media/image14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76200</xdr:colOff>
      <xdr:row>6</xdr:row>
      <xdr:rowOff>114300</xdr:rowOff>
    </xdr:from>
    <xdr:ext cx="2362200" cy="4838700"/>
    <xdr:pic>
      <xdr:nvPicPr>
        <xdr:cNvPr id="2" name="image4.png" title="Bild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952500</xdr:colOff>
      <xdr:row>48</xdr:row>
      <xdr:rowOff>9525</xdr:rowOff>
    </xdr:from>
    <xdr:ext cx="895350" cy="600075"/>
    <xdr:pic>
      <xdr:nvPicPr>
        <xdr:cNvPr id="3" name="image1.png" title="Bild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142875</xdr:colOff>
      <xdr:row>54</xdr:row>
      <xdr:rowOff>9525</xdr:rowOff>
    </xdr:from>
    <xdr:ext cx="2457450" cy="276225"/>
    <xdr:pic>
      <xdr:nvPicPr>
        <xdr:cNvPr id="4" name="image5.png" title="Bild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419100</xdr:colOff>
      <xdr:row>56</xdr:row>
      <xdr:rowOff>85725</xdr:rowOff>
    </xdr:from>
    <xdr:ext cx="1657350" cy="504825"/>
    <xdr:pic>
      <xdr:nvPicPr>
        <xdr:cNvPr id="5" name="image2.png" title="Bild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847725</xdr:colOff>
      <xdr:row>59</xdr:row>
      <xdr:rowOff>66675</xdr:rowOff>
    </xdr:from>
    <xdr:ext cx="1552575" cy="466725"/>
    <xdr:pic>
      <xdr:nvPicPr>
        <xdr:cNvPr id="6" name="image3.png" title="Bild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0</xdr:row>
      <xdr:rowOff>0</xdr:rowOff>
    </xdr:from>
    <xdr:ext cx="247650" cy="200025"/>
    <xdr:pic>
      <xdr:nvPicPr>
        <xdr:cNvPr id="7" name="image12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942975</xdr:colOff>
      <xdr:row>33</xdr:row>
      <xdr:rowOff>9525</xdr:rowOff>
    </xdr:from>
    <xdr:ext cx="847725" cy="581025"/>
    <xdr:pic>
      <xdr:nvPicPr>
        <xdr:cNvPr id="2" name="image6.png" title="Bild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962025</xdr:colOff>
      <xdr:row>6</xdr:row>
      <xdr:rowOff>190500</xdr:rowOff>
    </xdr:from>
    <xdr:ext cx="2390775" cy="5143500"/>
    <xdr:pic>
      <xdr:nvPicPr>
        <xdr:cNvPr id="3" name="image7.png" title="Bild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161925</xdr:colOff>
      <xdr:row>39</xdr:row>
      <xdr:rowOff>47625</xdr:rowOff>
    </xdr:from>
    <xdr:ext cx="2457450" cy="276225"/>
    <xdr:pic>
      <xdr:nvPicPr>
        <xdr:cNvPr id="4" name="image8.png" title="Bild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600075</xdr:colOff>
      <xdr:row>41</xdr:row>
      <xdr:rowOff>85725</xdr:rowOff>
    </xdr:from>
    <xdr:ext cx="1562100" cy="514350"/>
    <xdr:pic>
      <xdr:nvPicPr>
        <xdr:cNvPr id="5" name="image10.png" title="Bilde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933450</xdr:colOff>
      <xdr:row>44</xdr:row>
      <xdr:rowOff>47625</xdr:rowOff>
    </xdr:from>
    <xdr:ext cx="1562100" cy="466725"/>
    <xdr:pic>
      <xdr:nvPicPr>
        <xdr:cNvPr id="6" name="image11.png" title="Bilde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161925</xdr:colOff>
      <xdr:row>63</xdr:row>
      <xdr:rowOff>76200</xdr:rowOff>
    </xdr:from>
    <xdr:ext cx="1562100" cy="466725"/>
    <xdr:pic>
      <xdr:nvPicPr>
        <xdr:cNvPr id="7" name="image9.png" title="Bilde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0</xdr:row>
      <xdr:rowOff>0</xdr:rowOff>
    </xdr:from>
    <xdr:ext cx="276225" cy="228600"/>
    <xdr:pic>
      <xdr:nvPicPr>
        <xdr:cNvPr id="8" name="image12.pn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6</xdr:row>
      <xdr:rowOff>47625</xdr:rowOff>
    </xdr:from>
    <xdr:ext cx="2419350" cy="5067300"/>
    <xdr:pic>
      <xdr:nvPicPr>
        <xdr:cNvPr id="2" name="image13.png" title="Bild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19050</xdr:colOff>
      <xdr:row>53</xdr:row>
      <xdr:rowOff>114300</xdr:rowOff>
    </xdr:from>
    <xdr:ext cx="895350" cy="600075"/>
    <xdr:pic>
      <xdr:nvPicPr>
        <xdr:cNvPr id="3" name="image1.png" title="Bild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161925</xdr:colOff>
      <xdr:row>60</xdr:row>
      <xdr:rowOff>57150</xdr:rowOff>
    </xdr:from>
    <xdr:ext cx="2457450" cy="276225"/>
    <xdr:pic>
      <xdr:nvPicPr>
        <xdr:cNvPr id="4" name="image5.png" title="Bild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333375</xdr:colOff>
      <xdr:row>62</xdr:row>
      <xdr:rowOff>85725</xdr:rowOff>
    </xdr:from>
    <xdr:ext cx="1657350" cy="504825"/>
    <xdr:pic>
      <xdr:nvPicPr>
        <xdr:cNvPr id="5" name="image2.png" title="Bilde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819150</xdr:colOff>
      <xdr:row>65</xdr:row>
      <xdr:rowOff>57150</xdr:rowOff>
    </xdr:from>
    <xdr:ext cx="1533525" cy="466725"/>
    <xdr:pic>
      <xdr:nvPicPr>
        <xdr:cNvPr id="6" name="image14.png" title="Bilde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0</xdr:row>
      <xdr:rowOff>0</xdr:rowOff>
    </xdr:from>
    <xdr:ext cx="247650" cy="200025"/>
    <xdr:pic>
      <xdr:nvPicPr>
        <xdr:cNvPr id="7" name="image12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1000"/>
  <sheetViews>
    <sheetView tabSelected="1" workbookViewId="0">
      <selection sqref="A1:D1"/>
    </sheetView>
  </sheetViews>
  <sheetFormatPr baseColWidth="10" defaultColWidth="12.5703125" defaultRowHeight="15" customHeight="1" x14ac:dyDescent="0.2"/>
  <cols>
    <col min="1" max="1" width="14.42578125" customWidth="1"/>
    <col min="2" max="25" width="12.5703125" customWidth="1"/>
  </cols>
  <sheetData>
    <row r="1" spans="1:26" ht="15.75" customHeight="1" x14ac:dyDescent="0.3">
      <c r="A1" s="58" t="s">
        <v>0</v>
      </c>
      <c r="B1" s="59"/>
      <c r="C1" s="59"/>
      <c r="D1" s="60"/>
      <c r="E1" s="1"/>
      <c r="F1" s="1"/>
      <c r="G1" s="2"/>
      <c r="H1" s="3"/>
      <c r="I1" s="61"/>
      <c r="J1" s="62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5"/>
    </row>
    <row r="2" spans="1:26" ht="15.75" customHeight="1" x14ac:dyDescent="0.25">
      <c r="A2" s="6" t="s">
        <v>1</v>
      </c>
      <c r="B2" s="67" t="s">
        <v>2</v>
      </c>
      <c r="C2" s="68"/>
      <c r="D2" s="68"/>
      <c r="E2" s="69"/>
      <c r="F2" s="7"/>
      <c r="G2" s="70" t="s">
        <v>3</v>
      </c>
      <c r="H2" s="71"/>
      <c r="I2" s="63"/>
      <c r="J2" s="6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5"/>
    </row>
    <row r="3" spans="1:26" ht="15.75" customHeight="1" x14ac:dyDescent="0.2">
      <c r="A3" s="74" t="s">
        <v>4</v>
      </c>
      <c r="B3" s="69"/>
      <c r="C3" s="7"/>
      <c r="D3" s="8"/>
      <c r="E3" s="8"/>
      <c r="F3" s="8"/>
      <c r="G3" s="63"/>
      <c r="H3" s="72"/>
      <c r="I3" s="63"/>
      <c r="J3" s="6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5"/>
    </row>
    <row r="4" spans="1:26" ht="15.75" customHeight="1" x14ac:dyDescent="0.25">
      <c r="A4" s="9" t="s">
        <v>5</v>
      </c>
      <c r="B4" s="10" t="s">
        <v>6</v>
      </c>
      <c r="C4" s="11"/>
      <c r="D4" s="12"/>
      <c r="E4" s="12"/>
      <c r="F4" s="12"/>
      <c r="G4" s="65"/>
      <c r="H4" s="73"/>
      <c r="I4" s="63"/>
      <c r="J4" s="6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5"/>
    </row>
    <row r="5" spans="1:26" ht="18" customHeight="1" x14ac:dyDescent="0.25">
      <c r="A5" s="9" t="s">
        <v>7</v>
      </c>
      <c r="B5" s="13" t="s">
        <v>6</v>
      </c>
      <c r="C5" s="11"/>
      <c r="D5" s="12"/>
      <c r="E5" s="12"/>
      <c r="F5" s="12"/>
      <c r="G5" s="14"/>
      <c r="H5" s="12"/>
      <c r="I5" s="65"/>
      <c r="J5" s="66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5"/>
    </row>
    <row r="6" spans="1:26" ht="15.75" customHeight="1" x14ac:dyDescent="0.25">
      <c r="A6" s="15" t="s">
        <v>8</v>
      </c>
      <c r="B6" s="16" t="s">
        <v>6</v>
      </c>
      <c r="C6" s="17"/>
      <c r="D6" s="18"/>
      <c r="E6" s="18"/>
      <c r="F6" s="18"/>
      <c r="G6" s="17"/>
      <c r="H6" s="19"/>
      <c r="I6" s="17"/>
      <c r="J6" s="20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5"/>
    </row>
    <row r="7" spans="1:26" ht="15.75" customHeight="1" x14ac:dyDescent="0.25">
      <c r="A7" s="9" t="s">
        <v>9</v>
      </c>
      <c r="B7" s="21" t="s">
        <v>10</v>
      </c>
      <c r="C7" s="21" t="s">
        <v>11</v>
      </c>
      <c r="D7" s="21" t="s">
        <v>12</v>
      </c>
      <c r="E7" s="21" t="s">
        <v>13</v>
      </c>
      <c r="F7" s="21" t="s">
        <v>14</v>
      </c>
      <c r="G7" s="21" t="s">
        <v>15</v>
      </c>
      <c r="H7" s="7"/>
      <c r="I7" s="7"/>
      <c r="J7" s="22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5"/>
    </row>
    <row r="8" spans="1:26" ht="15.75" customHeight="1" x14ac:dyDescent="0.25">
      <c r="A8" s="15" t="s">
        <v>16</v>
      </c>
      <c r="B8" s="23" t="s">
        <v>17</v>
      </c>
      <c r="C8" s="23" t="s">
        <v>18</v>
      </c>
      <c r="D8" s="23" t="s">
        <v>19</v>
      </c>
      <c r="E8" s="23" t="s">
        <v>20</v>
      </c>
      <c r="F8" s="23" t="s">
        <v>21</v>
      </c>
      <c r="G8" s="75" t="s">
        <v>22</v>
      </c>
      <c r="H8" s="69"/>
      <c r="I8" s="7"/>
      <c r="J8" s="22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5"/>
    </row>
    <row r="9" spans="1:26" ht="15.75" customHeight="1" x14ac:dyDescent="0.25">
      <c r="A9" s="24">
        <v>400</v>
      </c>
      <c r="B9" s="23">
        <f>VLOOKUP($A9,'Ark 2'!$A4:$F7,2,0)</f>
        <v>8306.66</v>
      </c>
      <c r="C9" s="23">
        <f>VLOOKUP($A9,'Ark 2'!$A4:$F7,3,0)</f>
        <v>153190000</v>
      </c>
      <c r="D9" s="25">
        <f>VLOOKUP($A9,'Ark 2'!$A4:$F7,4,0)</f>
        <v>7659500</v>
      </c>
      <c r="E9" s="23">
        <v>70000</v>
      </c>
      <c r="F9" s="23">
        <f>VLOOKUP($A9,'Ark 2'!$A4:$F7,5,0)</f>
        <v>260</v>
      </c>
      <c r="G9" s="23">
        <f>VLOOKUP($A9,'Ark 2'!$A4:$F7,6,0)</f>
        <v>0.2243</v>
      </c>
      <c r="H9" s="7"/>
      <c r="I9" s="7"/>
      <c r="J9" s="22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5"/>
    </row>
    <row r="10" spans="1:26" ht="15.75" customHeight="1" x14ac:dyDescent="0.2">
      <c r="A10" s="26"/>
      <c r="B10" s="7"/>
      <c r="C10" s="7"/>
      <c r="D10" s="7"/>
      <c r="E10" s="7"/>
      <c r="F10" s="7"/>
      <c r="G10" s="7"/>
      <c r="H10" s="7"/>
      <c r="I10" s="7"/>
      <c r="J10" s="22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5"/>
    </row>
    <row r="11" spans="1:26" ht="15.75" customHeight="1" x14ac:dyDescent="0.25">
      <c r="A11" s="76" t="s">
        <v>23</v>
      </c>
      <c r="B11" s="68"/>
      <c r="C11" s="69"/>
      <c r="D11" s="75" t="s">
        <v>24</v>
      </c>
      <c r="E11" s="68"/>
      <c r="F11" s="69"/>
      <c r="G11" s="7"/>
      <c r="H11" s="7"/>
      <c r="I11" s="7"/>
      <c r="J11" s="22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5"/>
    </row>
    <row r="12" spans="1:26" ht="15.75" customHeight="1" x14ac:dyDescent="0.25">
      <c r="A12" s="27" t="s">
        <v>25</v>
      </c>
      <c r="B12" s="28" t="s">
        <v>26</v>
      </c>
      <c r="C12" s="7"/>
      <c r="D12" s="75" t="s">
        <v>27</v>
      </c>
      <c r="E12" s="69"/>
      <c r="F12" s="29">
        <v>0</v>
      </c>
      <c r="G12" s="21" t="s">
        <v>28</v>
      </c>
      <c r="H12" s="7"/>
      <c r="I12" s="7"/>
      <c r="J12" s="22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5"/>
    </row>
    <row r="13" spans="1:26" ht="15.75" customHeight="1" x14ac:dyDescent="0.25">
      <c r="A13" s="27" t="s">
        <v>29</v>
      </c>
      <c r="B13" s="30">
        <v>0</v>
      </c>
      <c r="C13" s="21" t="s">
        <v>30</v>
      </c>
      <c r="D13" s="75" t="s">
        <v>31</v>
      </c>
      <c r="E13" s="69"/>
      <c r="F13" s="30">
        <v>0</v>
      </c>
      <c r="G13" s="21" t="s">
        <v>32</v>
      </c>
      <c r="H13" s="7"/>
      <c r="I13" s="7"/>
      <c r="J13" s="22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5"/>
    </row>
    <row r="14" spans="1:26" ht="15.75" customHeight="1" x14ac:dyDescent="0.25">
      <c r="A14" s="27" t="s">
        <v>33</v>
      </c>
      <c r="B14" s="30">
        <v>0</v>
      </c>
      <c r="C14" s="21" t="s">
        <v>34</v>
      </c>
      <c r="D14" s="75" t="s">
        <v>35</v>
      </c>
      <c r="E14" s="69"/>
      <c r="F14" s="30">
        <v>0</v>
      </c>
      <c r="G14" s="21" t="s">
        <v>32</v>
      </c>
      <c r="H14" s="7"/>
      <c r="I14" s="7"/>
      <c r="J14" s="22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5"/>
    </row>
    <row r="15" spans="1:26" ht="15.75" customHeight="1" x14ac:dyDescent="0.25">
      <c r="A15" s="27" t="s">
        <v>36</v>
      </c>
      <c r="B15" s="24">
        <v>0</v>
      </c>
      <c r="C15" s="7"/>
      <c r="D15" s="21" t="s">
        <v>37</v>
      </c>
      <c r="E15" s="31" t="s">
        <v>38</v>
      </c>
      <c r="F15" s="30">
        <v>0</v>
      </c>
      <c r="G15" s="21" t="s">
        <v>32</v>
      </c>
      <c r="H15" s="7"/>
      <c r="I15" s="7"/>
      <c r="J15" s="22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5"/>
    </row>
    <row r="16" spans="1:26" ht="15.75" customHeight="1" x14ac:dyDescent="0.25">
      <c r="A16" s="9" t="s">
        <v>39</v>
      </c>
      <c r="B16" s="23">
        <v>1.1000000000000001</v>
      </c>
      <c r="C16" s="7"/>
      <c r="D16" s="7"/>
      <c r="E16" s="31" t="s">
        <v>40</v>
      </c>
      <c r="F16" s="24">
        <v>0</v>
      </c>
      <c r="G16" s="21" t="s">
        <v>32</v>
      </c>
      <c r="H16" s="7"/>
      <c r="I16" s="7"/>
      <c r="J16" s="22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5"/>
    </row>
    <row r="17" spans="1:26" ht="15.75" customHeight="1" x14ac:dyDescent="0.2">
      <c r="A17" s="26"/>
      <c r="B17" s="7"/>
      <c r="C17" s="7"/>
      <c r="D17" s="7"/>
      <c r="E17" s="7"/>
      <c r="F17" s="7"/>
      <c r="G17" s="7"/>
      <c r="H17" s="7"/>
      <c r="I17" s="7"/>
      <c r="J17" s="22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5"/>
    </row>
    <row r="18" spans="1:26" ht="15.75" customHeight="1" x14ac:dyDescent="0.25">
      <c r="A18" s="76" t="s">
        <v>41</v>
      </c>
      <c r="B18" s="68"/>
      <c r="C18" s="69"/>
      <c r="D18" s="7"/>
      <c r="E18" s="25">
        <f>F12*G9</f>
        <v>0</v>
      </c>
      <c r="F18" s="21" t="s">
        <v>32</v>
      </c>
      <c r="G18" s="7"/>
      <c r="H18" s="7"/>
      <c r="I18" s="7"/>
      <c r="J18" s="22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5"/>
    </row>
    <row r="19" spans="1:26" ht="15.75" customHeight="1" x14ac:dyDescent="0.2">
      <c r="A19" s="26"/>
      <c r="B19" s="7"/>
      <c r="C19" s="7"/>
      <c r="D19" s="7"/>
      <c r="E19" s="7"/>
      <c r="F19" s="7"/>
      <c r="G19" s="7"/>
      <c r="H19" s="7"/>
      <c r="I19" s="7"/>
      <c r="J19" s="22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5"/>
    </row>
    <row r="20" spans="1:26" ht="15.75" customHeight="1" x14ac:dyDescent="0.25">
      <c r="A20" s="76" t="s">
        <v>42</v>
      </c>
      <c r="B20" s="69"/>
      <c r="C20" s="77" t="s">
        <v>43</v>
      </c>
      <c r="D20" s="69"/>
      <c r="E20" s="25">
        <f>A9*F12*B13/(2*1000^2)</f>
        <v>0</v>
      </c>
      <c r="F20" s="21" t="s">
        <v>32</v>
      </c>
      <c r="G20" s="7"/>
      <c r="H20" s="7"/>
      <c r="I20" s="7"/>
      <c r="J20" s="22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5"/>
    </row>
    <row r="21" spans="1:26" ht="15.75" customHeight="1" x14ac:dyDescent="0.2">
      <c r="A21" s="26"/>
      <c r="B21" s="7"/>
      <c r="C21" s="7"/>
      <c r="D21" s="7"/>
      <c r="E21" s="7"/>
      <c r="F21" s="7"/>
      <c r="G21" s="7"/>
      <c r="H21" s="7"/>
      <c r="I21" s="7"/>
      <c r="J21" s="22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5"/>
    </row>
    <row r="22" spans="1:26" ht="15.75" customHeight="1" x14ac:dyDescent="0.25">
      <c r="A22" s="76" t="s">
        <v>44</v>
      </c>
      <c r="B22" s="68"/>
      <c r="C22" s="69"/>
      <c r="D22" s="7"/>
      <c r="E22" s="25">
        <f>(F15+F16)*SIN((B14/2)*PI()*9/1800)</f>
        <v>0</v>
      </c>
      <c r="F22" s="21" t="s">
        <v>32</v>
      </c>
      <c r="G22" s="7"/>
      <c r="H22" s="7"/>
      <c r="I22" s="7"/>
      <c r="J22" s="22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5"/>
    </row>
    <row r="23" spans="1:26" ht="15.75" customHeight="1" x14ac:dyDescent="0.2">
      <c r="A23" s="26"/>
      <c r="B23" s="7"/>
      <c r="C23" s="7"/>
      <c r="D23" s="7"/>
      <c r="E23" s="7"/>
      <c r="F23" s="7"/>
      <c r="G23" s="7"/>
      <c r="H23" s="7"/>
      <c r="I23" s="7"/>
      <c r="J23" s="22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5"/>
    </row>
    <row r="24" spans="1:26" ht="15.75" customHeight="1" x14ac:dyDescent="0.25">
      <c r="A24" s="76" t="s">
        <v>45</v>
      </c>
      <c r="B24" s="68"/>
      <c r="C24" s="68"/>
      <c r="D24" s="69"/>
      <c r="E24" s="25">
        <f>E22+F13+E20</f>
        <v>0</v>
      </c>
      <c r="F24" s="21" t="s">
        <v>32</v>
      </c>
      <c r="G24" s="7"/>
      <c r="H24" s="7"/>
      <c r="I24" s="7"/>
      <c r="J24" s="22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5"/>
    </row>
    <row r="25" spans="1:26" ht="15.75" customHeight="1" x14ac:dyDescent="0.2">
      <c r="A25" s="26"/>
      <c r="B25" s="7"/>
      <c r="C25" s="7"/>
      <c r="D25" s="7"/>
      <c r="E25" s="7"/>
      <c r="F25" s="7"/>
      <c r="G25" s="7"/>
      <c r="H25" s="7"/>
      <c r="I25" s="7"/>
      <c r="J25" s="22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5"/>
    </row>
    <row r="26" spans="1:26" ht="15.75" customHeight="1" x14ac:dyDescent="0.25">
      <c r="A26" s="76" t="s">
        <v>46</v>
      </c>
      <c r="B26" s="68"/>
      <c r="C26" s="69"/>
      <c r="D26" s="7"/>
      <c r="E26" s="25">
        <f>E24*B15</f>
        <v>0</v>
      </c>
      <c r="F26" s="21" t="s">
        <v>32</v>
      </c>
      <c r="G26" s="7"/>
      <c r="H26" s="7"/>
      <c r="I26" s="7"/>
      <c r="J26" s="22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5"/>
    </row>
    <row r="27" spans="1:26" ht="15.75" customHeight="1" x14ac:dyDescent="0.2">
      <c r="A27" s="26"/>
      <c r="B27" s="7"/>
      <c r="C27" s="7"/>
      <c r="D27" s="7"/>
      <c r="E27" s="7"/>
      <c r="F27" s="7"/>
      <c r="G27" s="7"/>
      <c r="H27" s="7"/>
      <c r="I27" s="7"/>
      <c r="J27" s="22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5"/>
    </row>
    <row r="28" spans="1:26" ht="15.75" customHeight="1" x14ac:dyDescent="0.25">
      <c r="A28" s="76" t="s">
        <v>47</v>
      </c>
      <c r="B28" s="68"/>
      <c r="C28" s="69"/>
      <c r="D28" s="7"/>
      <c r="E28" s="25">
        <f>SQRT(E24^2+E26^2)</f>
        <v>0</v>
      </c>
      <c r="F28" s="21" t="s">
        <v>32</v>
      </c>
      <c r="G28" s="7"/>
      <c r="H28" s="7"/>
      <c r="I28" s="7"/>
      <c r="J28" s="22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5"/>
    </row>
    <row r="29" spans="1:26" ht="15.75" customHeight="1" x14ac:dyDescent="0.2">
      <c r="A29" s="26"/>
      <c r="B29" s="7"/>
      <c r="C29" s="7"/>
      <c r="D29" s="7"/>
      <c r="E29" s="7"/>
      <c r="F29" s="7"/>
      <c r="G29" s="7"/>
      <c r="H29" s="7"/>
      <c r="I29" s="7"/>
      <c r="J29" s="22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5"/>
    </row>
    <row r="30" spans="1:26" ht="15.75" customHeight="1" x14ac:dyDescent="0.25">
      <c r="A30" s="78" t="s">
        <v>48</v>
      </c>
      <c r="B30" s="68"/>
      <c r="C30" s="69"/>
      <c r="D30" s="32"/>
      <c r="E30" s="33">
        <f>E28*1.6/1420</f>
        <v>0</v>
      </c>
      <c r="F30" s="34" t="s">
        <v>49</v>
      </c>
      <c r="G30" s="7"/>
      <c r="H30" s="7"/>
      <c r="I30" s="7"/>
      <c r="J30" s="22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5"/>
    </row>
    <row r="31" spans="1:26" ht="15.75" customHeight="1" x14ac:dyDescent="0.2">
      <c r="A31" s="26"/>
      <c r="B31" s="7"/>
      <c r="C31" s="7"/>
      <c r="D31" s="7"/>
      <c r="E31" s="7"/>
      <c r="F31" s="7"/>
      <c r="G31" s="7"/>
      <c r="H31" s="7"/>
      <c r="I31" s="7"/>
      <c r="J31" s="22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5"/>
    </row>
    <row r="32" spans="1:26" ht="15.75" customHeight="1" x14ac:dyDescent="0.2">
      <c r="A32" s="26"/>
      <c r="B32" s="7"/>
      <c r="C32" s="7"/>
      <c r="D32" s="7"/>
      <c r="E32" s="7"/>
      <c r="F32" s="7"/>
      <c r="G32" s="7"/>
      <c r="H32" s="7"/>
      <c r="I32" s="7"/>
      <c r="J32" s="22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5"/>
    </row>
    <row r="33" spans="1:26" ht="15.75" customHeight="1" x14ac:dyDescent="0.25">
      <c r="A33" s="76" t="s">
        <v>50</v>
      </c>
      <c r="B33" s="68"/>
      <c r="C33" s="69"/>
      <c r="D33" s="7"/>
      <c r="E33" s="25">
        <f>F14+E26+E18</f>
        <v>0</v>
      </c>
      <c r="F33" s="21" t="s">
        <v>32</v>
      </c>
      <c r="G33" s="7"/>
      <c r="H33" s="7"/>
      <c r="I33" s="7"/>
      <c r="J33" s="22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5"/>
    </row>
    <row r="34" spans="1:26" ht="15.75" customHeight="1" x14ac:dyDescent="0.2">
      <c r="A34" s="26"/>
      <c r="B34" s="7"/>
      <c r="C34" s="7"/>
      <c r="D34" s="7"/>
      <c r="E34" s="7"/>
      <c r="F34" s="7"/>
      <c r="G34" s="7"/>
      <c r="H34" s="7"/>
      <c r="I34" s="7"/>
      <c r="J34" s="22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5"/>
    </row>
    <row r="35" spans="1:26" ht="15.75" customHeight="1" x14ac:dyDescent="0.25">
      <c r="A35" s="76" t="s">
        <v>51</v>
      </c>
      <c r="B35" s="69"/>
      <c r="C35" s="7"/>
      <c r="D35" s="7"/>
      <c r="E35" s="35">
        <f>F12*0.7</f>
        <v>0</v>
      </c>
      <c r="F35" s="21" t="s">
        <v>28</v>
      </c>
      <c r="G35" s="7"/>
      <c r="H35" s="7"/>
      <c r="I35" s="7"/>
      <c r="J35" s="22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5"/>
    </row>
    <row r="36" spans="1:26" ht="15.75" customHeight="1" x14ac:dyDescent="0.2">
      <c r="A36" s="26"/>
      <c r="B36" s="7"/>
      <c r="C36" s="7"/>
      <c r="D36" s="7"/>
      <c r="E36" s="7"/>
      <c r="F36" s="7"/>
      <c r="G36" s="7"/>
      <c r="H36" s="7"/>
      <c r="I36" s="7"/>
      <c r="J36" s="22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5"/>
    </row>
    <row r="37" spans="1:26" ht="15.75" customHeight="1" x14ac:dyDescent="0.25">
      <c r="A37" s="76" t="s">
        <v>52</v>
      </c>
      <c r="B37" s="69"/>
      <c r="C37" s="7"/>
      <c r="D37" s="7"/>
      <c r="E37" s="7"/>
      <c r="F37" s="7"/>
      <c r="G37" s="7"/>
      <c r="H37" s="7"/>
      <c r="I37" s="7"/>
      <c r="J37" s="22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5"/>
    </row>
    <row r="38" spans="1:26" ht="15.75" customHeight="1" x14ac:dyDescent="0.25">
      <c r="A38" s="76" t="s">
        <v>53</v>
      </c>
      <c r="B38" s="68"/>
      <c r="C38" s="68"/>
      <c r="D38" s="68"/>
      <c r="E38" s="69"/>
      <c r="F38" s="7"/>
      <c r="G38" s="7"/>
      <c r="H38" s="7"/>
      <c r="I38" s="7"/>
      <c r="J38" s="22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5"/>
    </row>
    <row r="39" spans="1:26" ht="15.75" customHeight="1" x14ac:dyDescent="0.2">
      <c r="A39" s="26"/>
      <c r="B39" s="7"/>
      <c r="C39" s="7"/>
      <c r="D39" s="7"/>
      <c r="E39" s="7"/>
      <c r="F39" s="7"/>
      <c r="G39" s="7"/>
      <c r="H39" s="7"/>
      <c r="I39" s="7"/>
      <c r="J39" s="22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5"/>
    </row>
    <row r="40" spans="1:26" ht="15.75" customHeight="1" x14ac:dyDescent="0.25">
      <c r="A40" s="76" t="s">
        <v>54</v>
      </c>
      <c r="B40" s="69"/>
      <c r="C40" s="7"/>
      <c r="D40" s="36" t="s">
        <v>55</v>
      </c>
      <c r="E40" s="75" t="s">
        <v>56</v>
      </c>
      <c r="F40" s="69"/>
      <c r="G40" s="7"/>
      <c r="H40" s="7"/>
      <c r="I40" s="7"/>
      <c r="J40" s="22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5"/>
    </row>
    <row r="41" spans="1:26" ht="15.75" customHeight="1" x14ac:dyDescent="0.25">
      <c r="A41" s="76" t="s">
        <v>57</v>
      </c>
      <c r="B41" s="69"/>
      <c r="C41" s="7"/>
      <c r="D41" s="25">
        <f>B9</f>
        <v>8306.66</v>
      </c>
      <c r="E41" s="21" t="s">
        <v>58</v>
      </c>
      <c r="F41" s="7"/>
      <c r="G41" s="7"/>
      <c r="H41" s="7"/>
      <c r="I41" s="7"/>
      <c r="J41" s="22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5"/>
    </row>
    <row r="42" spans="1:26" ht="15.75" customHeight="1" x14ac:dyDescent="0.25">
      <c r="A42" s="9" t="s">
        <v>59</v>
      </c>
      <c r="B42" s="7"/>
      <c r="C42" s="7"/>
      <c r="D42" s="25">
        <f>E9</f>
        <v>70000</v>
      </c>
      <c r="E42" s="21" t="s">
        <v>60</v>
      </c>
      <c r="F42" s="7"/>
      <c r="G42" s="7"/>
      <c r="H42" s="7"/>
      <c r="I42" s="7"/>
      <c r="J42" s="22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5"/>
    </row>
    <row r="43" spans="1:26" ht="15.75" customHeight="1" x14ac:dyDescent="0.25">
      <c r="A43" s="76" t="s">
        <v>61</v>
      </c>
      <c r="B43" s="69"/>
      <c r="C43" s="7"/>
      <c r="D43" s="25">
        <f>C9</f>
        <v>153190000</v>
      </c>
      <c r="E43" s="21" t="s">
        <v>62</v>
      </c>
      <c r="F43" s="7"/>
      <c r="G43" s="7"/>
      <c r="H43" s="7"/>
      <c r="I43" s="7"/>
      <c r="J43" s="22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5"/>
    </row>
    <row r="44" spans="1:26" ht="15.75" customHeight="1" x14ac:dyDescent="0.25">
      <c r="A44" s="76" t="s">
        <v>63</v>
      </c>
      <c r="B44" s="69"/>
      <c r="C44" s="7"/>
      <c r="D44" s="23">
        <f>B16</f>
        <v>1.1000000000000001</v>
      </c>
      <c r="E44" s="75" t="s">
        <v>64</v>
      </c>
      <c r="F44" s="69"/>
      <c r="G44" s="7"/>
      <c r="H44" s="7"/>
      <c r="I44" s="7"/>
      <c r="J44" s="22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5"/>
    </row>
    <row r="45" spans="1:26" ht="15.75" customHeight="1" x14ac:dyDescent="0.25">
      <c r="A45" s="76" t="s">
        <v>65</v>
      </c>
      <c r="B45" s="69"/>
      <c r="C45" s="7"/>
      <c r="D45" s="23">
        <f>F9</f>
        <v>260</v>
      </c>
      <c r="E45" s="21" t="s">
        <v>60</v>
      </c>
      <c r="F45" s="7"/>
      <c r="G45" s="7"/>
      <c r="H45" s="7"/>
      <c r="I45" s="7"/>
      <c r="J45" s="22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5"/>
    </row>
    <row r="46" spans="1:26" ht="15.75" customHeight="1" x14ac:dyDescent="0.25">
      <c r="A46" s="76" t="s">
        <v>66</v>
      </c>
      <c r="B46" s="69"/>
      <c r="C46" s="7"/>
      <c r="D46" s="25">
        <f>SQRT(D43/D41)</f>
        <v>135.80069442016443</v>
      </c>
      <c r="E46" s="21" t="s">
        <v>28</v>
      </c>
      <c r="F46" s="7"/>
      <c r="G46" s="7"/>
      <c r="H46" s="7"/>
      <c r="I46" s="7"/>
      <c r="J46" s="22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5"/>
    </row>
    <row r="47" spans="1:26" ht="15.75" customHeight="1" x14ac:dyDescent="0.25">
      <c r="A47" s="76" t="s">
        <v>67</v>
      </c>
      <c r="B47" s="69"/>
      <c r="C47" s="7"/>
      <c r="D47" s="23">
        <f>F12*0.7</f>
        <v>0</v>
      </c>
      <c r="E47" s="21" t="s">
        <v>28</v>
      </c>
      <c r="F47" s="7"/>
      <c r="G47" s="7"/>
      <c r="H47" s="7"/>
      <c r="I47" s="7"/>
      <c r="J47" s="22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5"/>
    </row>
    <row r="48" spans="1:26" ht="15.75" customHeight="1" x14ac:dyDescent="0.25">
      <c r="A48" s="76" t="s">
        <v>68</v>
      </c>
      <c r="B48" s="69"/>
      <c r="C48" s="7"/>
      <c r="D48" s="25" t="e">
        <f>PI()^2*D42*D43/D47^2</f>
        <v>#DIV/0!</v>
      </c>
      <c r="E48" s="21" t="s">
        <v>32</v>
      </c>
      <c r="F48" s="7"/>
      <c r="G48" s="7"/>
      <c r="H48" s="7"/>
      <c r="I48" s="7"/>
      <c r="J48" s="22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5"/>
    </row>
    <row r="49" spans="1:26" ht="15.75" customHeight="1" x14ac:dyDescent="0.2">
      <c r="A49" s="26"/>
      <c r="B49" s="7"/>
      <c r="C49" s="7"/>
      <c r="D49" s="7"/>
      <c r="E49" s="7"/>
      <c r="F49" s="7"/>
      <c r="G49" s="7"/>
      <c r="H49" s="7"/>
      <c r="I49" s="7"/>
      <c r="J49" s="22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5"/>
    </row>
    <row r="50" spans="1:26" ht="15.75" customHeight="1" x14ac:dyDescent="0.25">
      <c r="A50" s="76" t="s">
        <v>69</v>
      </c>
      <c r="B50" s="69"/>
      <c r="C50" s="7"/>
      <c r="D50" s="7"/>
      <c r="E50" s="37" t="e">
        <f>SQRT(D41*D45/D48)</f>
        <v>#DIV/0!</v>
      </c>
      <c r="F50" s="7"/>
      <c r="G50" s="7"/>
      <c r="H50" s="7"/>
      <c r="I50" s="7"/>
      <c r="J50" s="22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5"/>
    </row>
    <row r="51" spans="1:26" ht="15.75" customHeight="1" x14ac:dyDescent="0.2">
      <c r="A51" s="26"/>
      <c r="B51" s="7"/>
      <c r="C51" s="7"/>
      <c r="D51" s="7"/>
      <c r="E51" s="7"/>
      <c r="F51" s="7"/>
      <c r="G51" s="7"/>
      <c r="H51" s="7"/>
      <c r="I51" s="7"/>
      <c r="J51" s="22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5"/>
    </row>
    <row r="52" spans="1:26" ht="15.75" customHeight="1" x14ac:dyDescent="0.25">
      <c r="A52" s="9" t="s">
        <v>70</v>
      </c>
      <c r="B52" s="7"/>
      <c r="C52" s="7"/>
      <c r="D52" s="7"/>
      <c r="E52" s="7"/>
      <c r="F52" s="7"/>
      <c r="G52" s="7"/>
      <c r="H52" s="7"/>
      <c r="I52" s="7"/>
      <c r="J52" s="22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5"/>
    </row>
    <row r="53" spans="1:26" ht="15.75" customHeight="1" x14ac:dyDescent="0.25">
      <c r="A53" s="9" t="s">
        <v>71</v>
      </c>
      <c r="B53" s="23">
        <v>0.2</v>
      </c>
      <c r="C53" s="7"/>
      <c r="D53" s="7"/>
      <c r="E53" s="7"/>
      <c r="F53" s="7"/>
      <c r="G53" s="7"/>
      <c r="H53" s="7"/>
      <c r="I53" s="7"/>
      <c r="J53" s="22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5"/>
    </row>
    <row r="54" spans="1:26" ht="15.75" customHeight="1" x14ac:dyDescent="0.25">
      <c r="A54" s="9" t="s">
        <v>72</v>
      </c>
      <c r="B54" s="23">
        <v>0.1</v>
      </c>
      <c r="C54" s="7"/>
      <c r="D54" s="7"/>
      <c r="E54" s="7"/>
      <c r="F54" s="7"/>
      <c r="G54" s="7"/>
      <c r="H54" s="7"/>
      <c r="I54" s="7"/>
      <c r="J54" s="22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5"/>
    </row>
    <row r="55" spans="1:26" ht="15.75" customHeight="1" x14ac:dyDescent="0.25">
      <c r="A55" s="26"/>
      <c r="B55" s="80"/>
      <c r="C55" s="81"/>
      <c r="D55" s="71"/>
      <c r="E55" s="37" t="e">
        <f>0.5*(1+$B$53*(E50-$B$54)+E50^2)</f>
        <v>#DIV/0!</v>
      </c>
      <c r="F55" s="7"/>
      <c r="G55" s="7"/>
      <c r="H55" s="7"/>
      <c r="I55" s="7"/>
      <c r="J55" s="22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5"/>
    </row>
    <row r="56" spans="1:26" ht="15.75" customHeight="1" x14ac:dyDescent="0.2">
      <c r="A56" s="26"/>
      <c r="B56" s="65"/>
      <c r="C56" s="82"/>
      <c r="D56" s="73"/>
      <c r="E56" s="7"/>
      <c r="F56" s="7"/>
      <c r="G56" s="7"/>
      <c r="H56" s="7"/>
      <c r="I56" s="7"/>
      <c r="J56" s="22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5"/>
    </row>
    <row r="57" spans="1:26" ht="15.75" customHeight="1" x14ac:dyDescent="0.2">
      <c r="A57" s="26"/>
      <c r="B57" s="7"/>
      <c r="C57" s="7"/>
      <c r="D57" s="7"/>
      <c r="E57" s="7"/>
      <c r="F57" s="7"/>
      <c r="G57" s="7"/>
      <c r="H57" s="7"/>
      <c r="I57" s="7"/>
      <c r="J57" s="22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5"/>
    </row>
    <row r="58" spans="1:26" ht="15.75" customHeight="1" x14ac:dyDescent="0.25">
      <c r="A58" s="9" t="s">
        <v>73</v>
      </c>
      <c r="B58" s="7"/>
      <c r="C58" s="7"/>
      <c r="D58" s="7"/>
      <c r="E58" s="37" t="e">
        <f>1/(E55+SQRT(E55^2-E50^2))</f>
        <v>#DIV/0!</v>
      </c>
      <c r="F58" s="7"/>
      <c r="G58" s="7"/>
      <c r="H58" s="7"/>
      <c r="I58" s="7"/>
      <c r="J58" s="22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5"/>
    </row>
    <row r="59" spans="1:26" ht="15.75" customHeight="1" x14ac:dyDescent="0.2">
      <c r="A59" s="26"/>
      <c r="B59" s="7"/>
      <c r="C59" s="7"/>
      <c r="D59" s="7"/>
      <c r="E59" s="7"/>
      <c r="F59" s="7"/>
      <c r="G59" s="7"/>
      <c r="H59" s="7"/>
      <c r="I59" s="7"/>
      <c r="J59" s="22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5"/>
    </row>
    <row r="60" spans="1:26" ht="15.75" customHeight="1" x14ac:dyDescent="0.2">
      <c r="A60" s="26"/>
      <c r="B60" s="7"/>
      <c r="C60" s="7"/>
      <c r="D60" s="7"/>
      <c r="E60" s="7"/>
      <c r="F60" s="7"/>
      <c r="G60" s="7"/>
      <c r="H60" s="7"/>
      <c r="I60" s="7"/>
      <c r="J60" s="22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5"/>
    </row>
    <row r="61" spans="1:26" ht="15.75" customHeight="1" x14ac:dyDescent="0.25">
      <c r="A61" s="9" t="s">
        <v>74</v>
      </c>
      <c r="B61" s="7"/>
      <c r="C61" s="7"/>
      <c r="D61" s="7"/>
      <c r="E61" s="25" t="e">
        <f>E58*$D$41*$D$45/$D$44</f>
        <v>#DIV/0!</v>
      </c>
      <c r="F61" s="21" t="s">
        <v>32</v>
      </c>
      <c r="G61" s="7"/>
      <c r="H61" s="7"/>
      <c r="I61" s="7"/>
      <c r="J61" s="22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5"/>
    </row>
    <row r="62" spans="1:26" ht="15.75" customHeight="1" x14ac:dyDescent="0.2">
      <c r="A62" s="26"/>
      <c r="B62" s="7"/>
      <c r="C62" s="7"/>
      <c r="D62" s="7"/>
      <c r="E62" s="7"/>
      <c r="F62" s="7"/>
      <c r="G62" s="7"/>
      <c r="H62" s="7"/>
      <c r="I62" s="7"/>
      <c r="J62" s="22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5"/>
    </row>
    <row r="63" spans="1:26" ht="15.75" customHeight="1" x14ac:dyDescent="0.25">
      <c r="A63" s="9" t="s">
        <v>75</v>
      </c>
      <c r="B63" s="75" t="s">
        <v>76</v>
      </c>
      <c r="C63" s="68"/>
      <c r="D63" s="69"/>
      <c r="E63" s="7"/>
      <c r="F63" s="7"/>
      <c r="G63" s="7"/>
      <c r="H63" s="7"/>
      <c r="I63" s="7"/>
      <c r="J63" s="22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5"/>
    </row>
    <row r="64" spans="1:26" ht="15.75" customHeight="1" x14ac:dyDescent="0.25">
      <c r="A64" s="9" t="s">
        <v>77</v>
      </c>
      <c r="B64" s="75" t="s">
        <v>78</v>
      </c>
      <c r="C64" s="68"/>
      <c r="D64" s="68"/>
      <c r="E64" s="69"/>
      <c r="F64" s="7"/>
      <c r="G64" s="7"/>
      <c r="H64" s="7"/>
      <c r="I64" s="7"/>
      <c r="J64" s="22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5"/>
    </row>
    <row r="65" spans="1:26" ht="15.75" customHeight="1" x14ac:dyDescent="0.2">
      <c r="A65" s="26"/>
      <c r="B65" s="7"/>
      <c r="C65" s="7"/>
      <c r="D65" s="7"/>
      <c r="E65" s="7"/>
      <c r="F65" s="7"/>
      <c r="G65" s="7"/>
      <c r="H65" s="7"/>
      <c r="I65" s="7"/>
      <c r="J65" s="22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5"/>
    </row>
    <row r="66" spans="1:26" ht="15.75" customHeight="1" x14ac:dyDescent="0.25">
      <c r="A66" s="79" t="s">
        <v>79</v>
      </c>
      <c r="B66" s="68"/>
      <c r="C66" s="69"/>
      <c r="D66" s="38" t="s">
        <v>80</v>
      </c>
      <c r="E66" s="39" t="e">
        <f>E33/E61</f>
        <v>#DIV/0!</v>
      </c>
      <c r="F66" s="38" t="e">
        <f>IF(E66&lt;=1,"OK","NOT OK")</f>
        <v>#DIV/0!</v>
      </c>
      <c r="G66" s="7"/>
      <c r="H66" s="7"/>
      <c r="I66" s="7"/>
      <c r="J66" s="22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5"/>
    </row>
    <row r="67" spans="1:26" ht="15.75" customHeight="1" x14ac:dyDescent="0.2">
      <c r="A67" s="26"/>
      <c r="B67" s="7"/>
      <c r="C67" s="7"/>
      <c r="D67" s="7"/>
      <c r="E67" s="7"/>
      <c r="F67" s="7"/>
      <c r="G67" s="7"/>
      <c r="H67" s="7"/>
      <c r="I67" s="7"/>
      <c r="J67" s="22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5"/>
    </row>
    <row r="68" spans="1:26" ht="15.75" customHeight="1" x14ac:dyDescent="0.2">
      <c r="A68" s="26"/>
      <c r="B68" s="7"/>
      <c r="C68" s="7"/>
      <c r="D68" s="7"/>
      <c r="E68" s="7"/>
      <c r="F68" s="7"/>
      <c r="G68" s="7"/>
      <c r="H68" s="7"/>
      <c r="I68" s="7"/>
      <c r="J68" s="22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5"/>
    </row>
    <row r="69" spans="1:26" ht="15.75" customHeight="1" x14ac:dyDescent="0.2">
      <c r="A69" s="40"/>
      <c r="B69" s="17"/>
      <c r="C69" s="17"/>
      <c r="D69" s="17"/>
      <c r="E69" s="17"/>
      <c r="F69" s="17"/>
      <c r="G69" s="17"/>
      <c r="H69" s="17"/>
      <c r="I69" s="17"/>
      <c r="J69" s="20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5"/>
    </row>
    <row r="70" spans="1:26" ht="15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5"/>
    </row>
    <row r="71" spans="1:26" ht="15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5"/>
    </row>
    <row r="72" spans="1:26" ht="15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5"/>
    </row>
    <row r="73" spans="1:26" ht="15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5"/>
    </row>
    <row r="74" spans="1:26" ht="15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5"/>
    </row>
    <row r="75" spans="1:26" ht="15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5"/>
    </row>
    <row r="76" spans="1:26" ht="15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5"/>
    </row>
    <row r="77" spans="1:26" ht="15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5"/>
    </row>
    <row r="78" spans="1:26" ht="15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5"/>
    </row>
    <row r="79" spans="1:26" ht="15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5"/>
    </row>
    <row r="80" spans="1:26" ht="15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5"/>
    </row>
    <row r="81" spans="1:26" ht="15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5"/>
    </row>
    <row r="82" spans="1:26" ht="15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5"/>
    </row>
    <row r="83" spans="1:26" ht="15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5"/>
    </row>
    <row r="84" spans="1:26" ht="15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5"/>
    </row>
    <row r="85" spans="1:26" ht="15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5"/>
    </row>
    <row r="86" spans="1:26" ht="15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5"/>
    </row>
    <row r="87" spans="1:26" ht="15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5"/>
    </row>
    <row r="88" spans="1:26" ht="15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5"/>
    </row>
    <row r="89" spans="1:26" ht="15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5"/>
    </row>
    <row r="90" spans="1:26" ht="15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5"/>
    </row>
    <row r="91" spans="1:26" ht="15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5"/>
    </row>
    <row r="92" spans="1:26" ht="15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5"/>
    </row>
    <row r="93" spans="1:26" ht="15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5"/>
    </row>
    <row r="94" spans="1:26" ht="15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5"/>
    </row>
    <row r="95" spans="1:26" ht="15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5"/>
    </row>
    <row r="96" spans="1:26" ht="15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5"/>
    </row>
    <row r="97" spans="1:26" ht="15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5"/>
    </row>
    <row r="98" spans="1:26" ht="15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5"/>
    </row>
    <row r="99" spans="1:26" ht="15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5"/>
    </row>
    <row r="100" spans="1:26" ht="15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5"/>
    </row>
    <row r="101" spans="1:26" ht="15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5"/>
    </row>
    <row r="102" spans="1:26" ht="15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5"/>
    </row>
    <row r="103" spans="1:26" ht="15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5"/>
    </row>
    <row r="104" spans="1:26" ht="15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5"/>
    </row>
    <row r="105" spans="1:26" ht="15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5"/>
    </row>
    <row r="106" spans="1:26" ht="15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5"/>
    </row>
    <row r="107" spans="1:26" ht="15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5"/>
    </row>
    <row r="108" spans="1:26" ht="15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5"/>
    </row>
    <row r="109" spans="1:26" ht="15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5"/>
    </row>
    <row r="110" spans="1:26" ht="15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5"/>
    </row>
    <row r="111" spans="1:26" ht="15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5"/>
    </row>
    <row r="112" spans="1:26" ht="15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5"/>
    </row>
    <row r="113" spans="1:26" ht="15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5"/>
    </row>
    <row r="114" spans="1:26" ht="15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5"/>
    </row>
    <row r="115" spans="1:26" ht="15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5"/>
    </row>
    <row r="116" spans="1:26" ht="15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5"/>
    </row>
    <row r="117" spans="1:26" ht="15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5"/>
    </row>
    <row r="118" spans="1:26" ht="15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5"/>
    </row>
    <row r="119" spans="1:26" ht="15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5"/>
    </row>
    <row r="120" spans="1:26" ht="15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5"/>
    </row>
    <row r="121" spans="1:26" ht="15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5"/>
    </row>
    <row r="122" spans="1:26" ht="15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5"/>
    </row>
    <row r="123" spans="1:26" ht="15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5"/>
    </row>
    <row r="124" spans="1:26" ht="15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5"/>
    </row>
    <row r="125" spans="1:26" ht="15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5"/>
    </row>
    <row r="126" spans="1:26" ht="15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5"/>
    </row>
    <row r="127" spans="1:26" ht="15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5"/>
    </row>
    <row r="128" spans="1:26" ht="15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5"/>
    </row>
    <row r="129" spans="1:26" ht="15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5"/>
    </row>
    <row r="130" spans="1:26" ht="15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5"/>
    </row>
    <row r="131" spans="1:26" ht="15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5"/>
    </row>
    <row r="132" spans="1:26" ht="15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5"/>
    </row>
    <row r="133" spans="1:26" ht="15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5"/>
    </row>
    <row r="134" spans="1:26" ht="15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5"/>
    </row>
    <row r="135" spans="1:26" ht="15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5"/>
    </row>
    <row r="136" spans="1:26" ht="15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5"/>
    </row>
    <row r="137" spans="1:26" ht="15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5"/>
    </row>
    <row r="138" spans="1:26" ht="15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5"/>
    </row>
    <row r="139" spans="1:26" ht="15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5"/>
    </row>
    <row r="140" spans="1:26" ht="15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5"/>
    </row>
    <row r="141" spans="1:26" ht="15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5"/>
    </row>
    <row r="142" spans="1:26" ht="15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5"/>
    </row>
    <row r="143" spans="1:26" ht="15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5"/>
    </row>
    <row r="144" spans="1:26" ht="15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5"/>
    </row>
    <row r="145" spans="1:26" ht="15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5"/>
    </row>
    <row r="146" spans="1:26" ht="15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5"/>
    </row>
    <row r="147" spans="1:26" ht="15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5"/>
    </row>
    <row r="148" spans="1:26" ht="15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5"/>
    </row>
    <row r="149" spans="1:26" ht="15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5"/>
    </row>
    <row r="150" spans="1:26" ht="15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5"/>
    </row>
    <row r="151" spans="1:26" ht="15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5"/>
    </row>
    <row r="152" spans="1:26" ht="15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5"/>
    </row>
    <row r="153" spans="1:26" ht="15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5"/>
    </row>
    <row r="154" spans="1:26" ht="15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5"/>
    </row>
    <row r="155" spans="1:26" ht="15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5"/>
    </row>
    <row r="156" spans="1:26" ht="15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5"/>
    </row>
    <row r="157" spans="1:26" ht="15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5"/>
    </row>
    <row r="158" spans="1:26" ht="15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5"/>
    </row>
    <row r="159" spans="1:26" ht="15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5"/>
    </row>
    <row r="160" spans="1:26" ht="15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5"/>
    </row>
    <row r="161" spans="1:26" ht="15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5"/>
    </row>
    <row r="162" spans="1:26" ht="15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5"/>
    </row>
    <row r="163" spans="1:26" ht="15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5"/>
    </row>
    <row r="164" spans="1:26" ht="15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5"/>
    </row>
    <row r="165" spans="1:26" ht="15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5"/>
    </row>
    <row r="166" spans="1:26" ht="15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5"/>
    </row>
    <row r="167" spans="1:26" ht="15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5"/>
    </row>
    <row r="168" spans="1:26" ht="15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5"/>
    </row>
    <row r="169" spans="1:26" ht="15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5"/>
    </row>
    <row r="170" spans="1:26" ht="15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5"/>
    </row>
    <row r="171" spans="1:26" ht="15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5"/>
    </row>
    <row r="172" spans="1:26" ht="15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5"/>
    </row>
    <row r="173" spans="1:26" ht="15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5"/>
    </row>
    <row r="174" spans="1:26" ht="15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5"/>
    </row>
    <row r="175" spans="1:26" ht="15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5"/>
    </row>
    <row r="176" spans="1:26" ht="15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5"/>
    </row>
    <row r="177" spans="1:26" ht="15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5"/>
    </row>
    <row r="178" spans="1:26" ht="15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5"/>
    </row>
    <row r="179" spans="1:26" ht="15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5"/>
    </row>
    <row r="180" spans="1:26" ht="15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5"/>
    </row>
    <row r="181" spans="1:26" ht="15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5"/>
    </row>
    <row r="182" spans="1:26" ht="15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5"/>
    </row>
    <row r="183" spans="1:26" ht="15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5"/>
    </row>
    <row r="184" spans="1:26" ht="15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5"/>
    </row>
    <row r="185" spans="1:26" ht="15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5"/>
    </row>
    <row r="186" spans="1:26" ht="15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5"/>
    </row>
    <row r="187" spans="1:26" ht="15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5"/>
    </row>
    <row r="188" spans="1:26" ht="15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5"/>
    </row>
    <row r="189" spans="1:26" ht="15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5"/>
    </row>
    <row r="190" spans="1:26" ht="15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5"/>
    </row>
    <row r="191" spans="1:26" ht="15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5"/>
    </row>
    <row r="192" spans="1:26" ht="15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5"/>
    </row>
    <row r="193" spans="1:26" ht="15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5"/>
    </row>
    <row r="194" spans="1:26" ht="15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5"/>
    </row>
    <row r="195" spans="1:26" ht="15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5"/>
    </row>
    <row r="196" spans="1:26" ht="15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5"/>
    </row>
    <row r="197" spans="1:26" ht="15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5"/>
    </row>
    <row r="198" spans="1:26" ht="15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5"/>
    </row>
    <row r="199" spans="1:26" ht="15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5"/>
    </row>
    <row r="200" spans="1:26" ht="15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5"/>
    </row>
    <row r="201" spans="1:26" ht="15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5"/>
    </row>
    <row r="202" spans="1:26" ht="15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5"/>
    </row>
    <row r="203" spans="1:26" ht="15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5"/>
    </row>
    <row r="204" spans="1:26" ht="15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5"/>
    </row>
    <row r="205" spans="1:26" ht="15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5"/>
    </row>
    <row r="206" spans="1:26" ht="15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5"/>
    </row>
    <row r="207" spans="1:26" ht="15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5"/>
    </row>
    <row r="208" spans="1:26" ht="15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5"/>
    </row>
    <row r="209" spans="1:26" ht="15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5"/>
    </row>
    <row r="210" spans="1:26" ht="15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5"/>
    </row>
    <row r="211" spans="1:26" ht="15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5"/>
    </row>
    <row r="212" spans="1:26" ht="15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5"/>
    </row>
    <row r="213" spans="1:26" ht="15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5"/>
    </row>
    <row r="214" spans="1:26" ht="15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5"/>
    </row>
    <row r="215" spans="1:26" ht="15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5"/>
    </row>
    <row r="216" spans="1:26" ht="15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5"/>
    </row>
    <row r="217" spans="1:26" ht="15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5"/>
    </row>
    <row r="218" spans="1:26" ht="15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5"/>
    </row>
    <row r="219" spans="1:26" ht="15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5"/>
    </row>
    <row r="220" spans="1:26" ht="15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5"/>
    </row>
    <row r="221" spans="1:26" ht="15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5"/>
    </row>
    <row r="222" spans="1:26" ht="15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5"/>
    </row>
    <row r="223" spans="1:26" ht="15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5"/>
    </row>
    <row r="224" spans="1:26" ht="15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5"/>
    </row>
    <row r="225" spans="1:26" ht="15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5"/>
    </row>
    <row r="226" spans="1:26" ht="15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5"/>
    </row>
    <row r="227" spans="1:26" ht="15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5"/>
    </row>
    <row r="228" spans="1:26" ht="15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5"/>
    </row>
    <row r="229" spans="1:26" ht="15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5"/>
    </row>
    <row r="230" spans="1:26" ht="15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5"/>
    </row>
    <row r="231" spans="1:26" ht="15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5"/>
    </row>
    <row r="232" spans="1:26" ht="15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5"/>
    </row>
    <row r="233" spans="1:26" ht="15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5"/>
    </row>
    <row r="234" spans="1:26" ht="15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5"/>
    </row>
    <row r="235" spans="1:26" ht="15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5"/>
    </row>
    <row r="236" spans="1:26" ht="15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5"/>
    </row>
    <row r="237" spans="1:26" ht="15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5"/>
    </row>
    <row r="238" spans="1:26" ht="15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5"/>
    </row>
    <row r="239" spans="1:26" ht="15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5"/>
    </row>
    <row r="240" spans="1:26" ht="15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5"/>
    </row>
    <row r="241" spans="1:26" ht="15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5"/>
    </row>
    <row r="242" spans="1:26" ht="15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5"/>
    </row>
    <row r="243" spans="1:26" ht="15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5"/>
    </row>
    <row r="244" spans="1:26" ht="15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5"/>
    </row>
    <row r="245" spans="1:26" ht="15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5"/>
    </row>
    <row r="246" spans="1:26" ht="15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5"/>
    </row>
    <row r="247" spans="1:26" ht="15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5"/>
    </row>
    <row r="248" spans="1:26" ht="15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5"/>
    </row>
    <row r="249" spans="1:26" ht="15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5"/>
    </row>
    <row r="250" spans="1:26" ht="15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5"/>
    </row>
    <row r="251" spans="1:26" ht="15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5"/>
    </row>
    <row r="252" spans="1:26" ht="15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5"/>
    </row>
    <row r="253" spans="1:26" ht="15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5"/>
    </row>
    <row r="254" spans="1:26" ht="15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5"/>
    </row>
    <row r="255" spans="1:26" ht="15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5"/>
    </row>
    <row r="256" spans="1:26" ht="15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5"/>
    </row>
    <row r="257" spans="1:26" ht="15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5"/>
    </row>
    <row r="258" spans="1:26" ht="15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5"/>
    </row>
    <row r="259" spans="1:26" ht="15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5"/>
    </row>
    <row r="260" spans="1:26" ht="15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5"/>
    </row>
    <row r="261" spans="1:26" ht="15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5"/>
    </row>
    <row r="262" spans="1:26" ht="15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5"/>
    </row>
    <row r="263" spans="1:26" ht="15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5"/>
    </row>
    <row r="264" spans="1:26" ht="15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5"/>
    </row>
    <row r="265" spans="1:26" ht="15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5"/>
    </row>
    <row r="266" spans="1:26" ht="15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5"/>
    </row>
    <row r="267" spans="1:26" ht="15.75" customHeight="1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2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2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2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2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2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2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2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2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2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2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2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2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2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2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2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2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2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2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2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2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2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2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2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2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2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2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2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2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2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2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2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2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2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2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2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2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2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2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2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2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2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2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2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2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2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2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2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2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2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2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2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2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2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2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2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2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2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2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2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2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2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2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2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2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2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2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2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2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2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2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2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2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2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2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2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2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2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2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2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2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2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2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2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2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2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2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2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2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2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2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2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2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2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2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2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2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2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2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2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2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2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2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2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2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2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2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2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2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2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2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2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2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2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2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2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2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2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2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2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2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2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2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2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2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2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2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2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2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2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2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2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2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2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2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2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2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2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2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2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2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2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2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2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2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2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2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2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2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2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2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2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2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2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2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2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2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2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2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2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2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2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2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2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2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2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2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2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2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2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2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2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2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2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2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2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2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2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2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2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2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2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2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2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2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2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2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2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2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2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2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2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2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2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2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2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2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2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2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2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2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2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2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2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2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2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2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2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2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2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2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2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2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2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2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2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2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 x14ac:dyDescent="0.2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 x14ac:dyDescent="0.2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 x14ac:dyDescent="0.2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 x14ac:dyDescent="0.2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 x14ac:dyDescent="0.2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 x14ac:dyDescent="0.2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 x14ac:dyDescent="0.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 x14ac:dyDescent="0.2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 x14ac:dyDescent="0.2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 x14ac:dyDescent="0.2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 x14ac:dyDescent="0.2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 x14ac:dyDescent="0.2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 x14ac:dyDescent="0.2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 x14ac:dyDescent="0.2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 x14ac:dyDescent="0.2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 x14ac:dyDescent="0.2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 x14ac:dyDescent="0.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 x14ac:dyDescent="0.2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 x14ac:dyDescent="0.2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 x14ac:dyDescent="0.2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 x14ac:dyDescent="0.2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75" customHeight="1" x14ac:dyDescent="0.2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75" customHeight="1" x14ac:dyDescent="0.2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.75" customHeight="1" x14ac:dyDescent="0.2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5.75" customHeight="1" x14ac:dyDescent="0.2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38">
    <mergeCell ref="A66:C66"/>
    <mergeCell ref="A44:B44"/>
    <mergeCell ref="A45:B45"/>
    <mergeCell ref="A46:B46"/>
    <mergeCell ref="A47:B47"/>
    <mergeCell ref="A48:B48"/>
    <mergeCell ref="A50:B50"/>
    <mergeCell ref="B55:D56"/>
    <mergeCell ref="A41:B41"/>
    <mergeCell ref="A43:B43"/>
    <mergeCell ref="E44:F44"/>
    <mergeCell ref="B63:D63"/>
    <mergeCell ref="B64:E64"/>
    <mergeCell ref="A35:B35"/>
    <mergeCell ref="A37:B37"/>
    <mergeCell ref="A38:E38"/>
    <mergeCell ref="A40:B40"/>
    <mergeCell ref="E40:F40"/>
    <mergeCell ref="A24:D24"/>
    <mergeCell ref="A26:C26"/>
    <mergeCell ref="A28:C28"/>
    <mergeCell ref="A30:C30"/>
    <mergeCell ref="A33:C33"/>
    <mergeCell ref="D14:E14"/>
    <mergeCell ref="A18:C18"/>
    <mergeCell ref="A20:B20"/>
    <mergeCell ref="C20:D20"/>
    <mergeCell ref="A22:C22"/>
    <mergeCell ref="G8:H8"/>
    <mergeCell ref="A11:C11"/>
    <mergeCell ref="D11:F11"/>
    <mergeCell ref="D12:E12"/>
    <mergeCell ref="D13:E13"/>
    <mergeCell ref="A1:D1"/>
    <mergeCell ref="I1:J5"/>
    <mergeCell ref="B2:E2"/>
    <mergeCell ref="G2:H4"/>
    <mergeCell ref="A3:B3"/>
  </mergeCells>
  <printOptions horizontalCentered="1" gridLines="1"/>
  <pageMargins left="0.7" right="0.7" top="0.75" bottom="0.75" header="0" footer="0"/>
  <pageSetup paperSize="9" pageOrder="overThenDown" orientation="portrait" cellComments="atEnd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'Ark 2'!$A$4:$A$7</xm:f>
          </x14:formula1>
          <xm:sqref>A9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Z1000"/>
  <sheetViews>
    <sheetView workbookViewId="0"/>
  </sheetViews>
  <sheetFormatPr baseColWidth="10" defaultColWidth="12.5703125" defaultRowHeight="15" customHeight="1" x14ac:dyDescent="0.2"/>
  <cols>
    <col min="1" max="25" width="12.5703125" customWidth="1"/>
  </cols>
  <sheetData>
    <row r="1" spans="1:26" ht="18" customHeight="1" x14ac:dyDescent="0.3">
      <c r="A1" s="58" t="s">
        <v>81</v>
      </c>
      <c r="B1" s="59"/>
      <c r="C1" s="59"/>
      <c r="D1" s="60"/>
      <c r="E1" s="1"/>
      <c r="F1" s="1"/>
      <c r="G1" s="2"/>
      <c r="H1" s="3"/>
      <c r="I1" s="61"/>
      <c r="J1" s="62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5"/>
    </row>
    <row r="2" spans="1:26" ht="15" customHeight="1" x14ac:dyDescent="0.25">
      <c r="A2" s="6" t="s">
        <v>1</v>
      </c>
      <c r="B2" s="75" t="s">
        <v>2</v>
      </c>
      <c r="C2" s="68"/>
      <c r="D2" s="69"/>
      <c r="E2" s="7"/>
      <c r="F2" s="7"/>
      <c r="G2" s="70" t="s">
        <v>3</v>
      </c>
      <c r="H2" s="71"/>
      <c r="I2" s="63"/>
      <c r="J2" s="6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5"/>
    </row>
    <row r="3" spans="1:26" ht="15" customHeight="1" x14ac:dyDescent="0.25">
      <c r="A3" s="6" t="s">
        <v>82</v>
      </c>
      <c r="B3" s="7"/>
      <c r="C3" s="7"/>
      <c r="D3" s="7"/>
      <c r="E3" s="7"/>
      <c r="F3" s="21"/>
      <c r="G3" s="63"/>
      <c r="H3" s="72"/>
      <c r="I3" s="63"/>
      <c r="J3" s="6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5"/>
    </row>
    <row r="4" spans="1:26" ht="15" customHeight="1" x14ac:dyDescent="0.25">
      <c r="A4" s="9" t="s">
        <v>5</v>
      </c>
      <c r="B4" s="10" t="s">
        <v>6</v>
      </c>
      <c r="C4" s="21"/>
      <c r="D4" s="7"/>
      <c r="E4" s="7"/>
      <c r="F4" s="7"/>
      <c r="G4" s="65"/>
      <c r="H4" s="73"/>
      <c r="I4" s="63"/>
      <c r="J4" s="6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5"/>
    </row>
    <row r="5" spans="1:26" ht="15" customHeight="1" x14ac:dyDescent="0.25">
      <c r="A5" s="9" t="s">
        <v>7</v>
      </c>
      <c r="B5" s="13" t="s">
        <v>6</v>
      </c>
      <c r="C5" s="7"/>
      <c r="D5" s="7"/>
      <c r="E5" s="7"/>
      <c r="F5" s="7"/>
      <c r="G5" s="12"/>
      <c r="H5" s="12"/>
      <c r="I5" s="65"/>
      <c r="J5" s="66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5"/>
    </row>
    <row r="6" spans="1:26" ht="15.75" customHeight="1" x14ac:dyDescent="0.25">
      <c r="A6" s="40"/>
      <c r="B6" s="16" t="s">
        <v>6</v>
      </c>
      <c r="C6" s="17"/>
      <c r="D6" s="17"/>
      <c r="E6" s="17"/>
      <c r="F6" s="17"/>
      <c r="G6" s="17"/>
      <c r="H6" s="19"/>
      <c r="I6" s="17"/>
      <c r="J6" s="20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5"/>
    </row>
    <row r="7" spans="1:26" ht="15.75" customHeight="1" x14ac:dyDescent="0.25">
      <c r="A7" s="9" t="s">
        <v>9</v>
      </c>
      <c r="B7" s="21" t="s">
        <v>10</v>
      </c>
      <c r="C7" s="21" t="s">
        <v>11</v>
      </c>
      <c r="D7" s="21" t="s">
        <v>12</v>
      </c>
      <c r="E7" s="21" t="s">
        <v>13</v>
      </c>
      <c r="F7" s="21" t="s">
        <v>14</v>
      </c>
      <c r="G7" s="21" t="s">
        <v>15</v>
      </c>
      <c r="H7" s="7"/>
      <c r="I7" s="7"/>
      <c r="J7" s="22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5"/>
    </row>
    <row r="8" spans="1:26" ht="15.75" customHeight="1" x14ac:dyDescent="0.25">
      <c r="A8" s="15" t="s">
        <v>16</v>
      </c>
      <c r="B8" s="23" t="s">
        <v>17</v>
      </c>
      <c r="C8" s="23" t="s">
        <v>18</v>
      </c>
      <c r="D8" s="23" t="s">
        <v>19</v>
      </c>
      <c r="E8" s="23" t="s">
        <v>20</v>
      </c>
      <c r="F8" s="23" t="s">
        <v>21</v>
      </c>
      <c r="G8" s="75" t="s">
        <v>83</v>
      </c>
      <c r="H8" s="69"/>
      <c r="I8" s="7"/>
      <c r="J8" s="22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5"/>
    </row>
    <row r="9" spans="1:26" ht="15.75" customHeight="1" x14ac:dyDescent="0.25">
      <c r="A9" s="24">
        <v>180</v>
      </c>
      <c r="B9" s="23">
        <f>VLOOKUP($A9,'Ark 2'!$A4:$F7,2,0)</f>
        <v>3636</v>
      </c>
      <c r="C9" s="23">
        <f>VLOOKUP($A9,'Ark 2'!$A4:$F7,3,0)</f>
        <v>11875175</v>
      </c>
      <c r="D9" s="25">
        <f>VLOOKUP($A9,'Ark 2'!$A4:$F7,4,0)</f>
        <v>131946.4</v>
      </c>
      <c r="E9" s="23">
        <v>70000</v>
      </c>
      <c r="F9" s="23">
        <f>VLOOKUP($A9,'Ark 2'!$A4:$F7,5,0)</f>
        <v>260</v>
      </c>
      <c r="G9" s="23">
        <f>VLOOKUP($A9,'Ark 2'!$A4:$F7,6,0)</f>
        <v>9.4175999999999996E-2</v>
      </c>
      <c r="H9" s="7"/>
      <c r="I9" s="7"/>
      <c r="J9" s="22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5"/>
    </row>
    <row r="10" spans="1:26" ht="15.75" customHeight="1" x14ac:dyDescent="0.2">
      <c r="A10" s="26"/>
      <c r="B10" s="7"/>
      <c r="C10" s="7"/>
      <c r="D10" s="7"/>
      <c r="E10" s="7"/>
      <c r="F10" s="7"/>
      <c r="G10" s="7"/>
      <c r="H10" s="7"/>
      <c r="I10" s="7"/>
      <c r="J10" s="22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5"/>
    </row>
    <row r="11" spans="1:26" ht="15.75" customHeight="1" x14ac:dyDescent="0.25">
      <c r="A11" s="76" t="s">
        <v>84</v>
      </c>
      <c r="B11" s="69"/>
      <c r="C11" s="7"/>
      <c r="D11" s="75" t="s">
        <v>24</v>
      </c>
      <c r="E11" s="68"/>
      <c r="F11" s="69"/>
      <c r="G11" s="7"/>
      <c r="H11" s="7"/>
      <c r="I11" s="7"/>
      <c r="J11" s="22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5"/>
    </row>
    <row r="12" spans="1:26" ht="15.75" customHeight="1" x14ac:dyDescent="0.25">
      <c r="A12" s="27" t="s">
        <v>25</v>
      </c>
      <c r="B12" s="41" t="s">
        <v>85</v>
      </c>
      <c r="C12" s="7"/>
      <c r="D12" s="75" t="s">
        <v>27</v>
      </c>
      <c r="E12" s="69"/>
      <c r="F12" s="29">
        <v>0</v>
      </c>
      <c r="G12" s="21" t="s">
        <v>28</v>
      </c>
      <c r="H12" s="7"/>
      <c r="I12" s="7"/>
      <c r="J12" s="22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5"/>
    </row>
    <row r="13" spans="1:26" ht="15.75" customHeight="1" x14ac:dyDescent="0.25">
      <c r="A13" s="27" t="s">
        <v>29</v>
      </c>
      <c r="B13" s="42">
        <v>0</v>
      </c>
      <c r="C13" s="21" t="s">
        <v>30</v>
      </c>
      <c r="D13" s="75" t="s">
        <v>31</v>
      </c>
      <c r="E13" s="69"/>
      <c r="F13" s="30">
        <v>0</v>
      </c>
      <c r="G13" s="21" t="s">
        <v>32</v>
      </c>
      <c r="H13" s="7"/>
      <c r="I13" s="7"/>
      <c r="J13" s="22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5"/>
    </row>
    <row r="14" spans="1:26" ht="15.75" customHeight="1" x14ac:dyDescent="0.25">
      <c r="A14" s="9" t="s">
        <v>39</v>
      </c>
      <c r="B14" s="23">
        <v>1</v>
      </c>
      <c r="C14" s="7"/>
      <c r="D14" s="75" t="s">
        <v>35</v>
      </c>
      <c r="E14" s="69"/>
      <c r="F14" s="30">
        <v>0</v>
      </c>
      <c r="G14" s="21" t="s">
        <v>32</v>
      </c>
      <c r="H14" s="7"/>
      <c r="I14" s="7"/>
      <c r="J14" s="22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5"/>
    </row>
    <row r="15" spans="1:26" ht="15.75" customHeight="1" x14ac:dyDescent="0.2">
      <c r="A15" s="26"/>
      <c r="B15" s="7"/>
      <c r="C15" s="7"/>
      <c r="D15" s="7"/>
      <c r="E15" s="7"/>
      <c r="F15" s="7"/>
      <c r="G15" s="7"/>
      <c r="H15" s="7"/>
      <c r="I15" s="7"/>
      <c r="J15" s="22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5"/>
    </row>
    <row r="16" spans="1:26" ht="15.75" customHeight="1" x14ac:dyDescent="0.25">
      <c r="A16" s="76" t="s">
        <v>86</v>
      </c>
      <c r="B16" s="69"/>
      <c r="C16" s="7"/>
      <c r="D16" s="7"/>
      <c r="E16" s="7"/>
      <c r="F16" s="7"/>
      <c r="G16" s="7"/>
      <c r="H16" s="7"/>
      <c r="I16" s="7"/>
      <c r="J16" s="22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5"/>
    </row>
    <row r="17" spans="1:26" ht="15.75" customHeight="1" x14ac:dyDescent="0.25">
      <c r="A17" s="76" t="s">
        <v>87</v>
      </c>
      <c r="B17" s="69"/>
      <c r="C17" s="21" t="s">
        <v>88</v>
      </c>
      <c r="D17" s="7"/>
      <c r="E17" s="37">
        <f>G9*F12</f>
        <v>0</v>
      </c>
      <c r="F17" s="21" t="s">
        <v>32</v>
      </c>
      <c r="G17" s="7"/>
      <c r="H17" s="7"/>
      <c r="I17" s="7"/>
      <c r="J17" s="22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5"/>
    </row>
    <row r="18" spans="1:26" ht="15.75" customHeight="1" x14ac:dyDescent="0.25">
      <c r="A18" s="9" t="s">
        <v>89</v>
      </c>
      <c r="B18" s="7"/>
      <c r="C18" s="21" t="s">
        <v>90</v>
      </c>
      <c r="D18" s="7"/>
      <c r="E18" s="23">
        <f>F12*2</f>
        <v>0</v>
      </c>
      <c r="F18" s="21" t="s">
        <v>28</v>
      </c>
      <c r="G18" s="7"/>
      <c r="H18" s="7"/>
      <c r="I18" s="7"/>
      <c r="J18" s="22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5"/>
    </row>
    <row r="19" spans="1:26" ht="15.75" customHeight="1" x14ac:dyDescent="0.25">
      <c r="A19" s="76" t="s">
        <v>91</v>
      </c>
      <c r="B19" s="69"/>
      <c r="C19" s="83" t="s">
        <v>92</v>
      </c>
      <c r="D19" s="69"/>
      <c r="E19" s="43">
        <f>A9*F12*B13/(2*1000^2)</f>
        <v>0</v>
      </c>
      <c r="F19" s="44" t="s">
        <v>32</v>
      </c>
      <c r="G19" s="7"/>
      <c r="H19" s="7"/>
      <c r="I19" s="7"/>
      <c r="J19" s="22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5"/>
    </row>
    <row r="20" spans="1:26" ht="15.75" customHeight="1" x14ac:dyDescent="0.2">
      <c r="A20" s="26"/>
      <c r="B20" s="7"/>
      <c r="C20" s="7"/>
      <c r="D20" s="7"/>
      <c r="E20" s="7"/>
      <c r="F20" s="7"/>
      <c r="G20" s="7"/>
      <c r="H20" s="7"/>
      <c r="I20" s="7"/>
      <c r="J20" s="22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5"/>
    </row>
    <row r="21" spans="1:26" ht="15.75" customHeight="1" x14ac:dyDescent="0.25">
      <c r="A21" s="79" t="s">
        <v>93</v>
      </c>
      <c r="B21" s="68"/>
      <c r="C21" s="68"/>
      <c r="D21" s="69"/>
      <c r="E21" s="45" t="s">
        <v>94</v>
      </c>
      <c r="F21" s="46">
        <f>(F13+E19)*F12^3/(3*$E9*$C9)</f>
        <v>0</v>
      </c>
      <c r="G21" s="38" t="str">
        <f>IF(F21&lt;(F12*0.1),"OK","NOT OK")</f>
        <v>NOT OK</v>
      </c>
      <c r="H21" s="7"/>
      <c r="I21" s="7"/>
      <c r="J21" s="22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5"/>
    </row>
    <row r="22" spans="1:26" ht="15.75" customHeight="1" x14ac:dyDescent="0.2">
      <c r="A22" s="26"/>
      <c r="B22" s="7"/>
      <c r="C22" s="7"/>
      <c r="D22" s="7"/>
      <c r="E22" s="7"/>
      <c r="F22" s="7"/>
      <c r="G22" s="7"/>
      <c r="H22" s="7"/>
      <c r="I22" s="7"/>
      <c r="J22" s="22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5"/>
    </row>
    <row r="23" spans="1:26" ht="15.75" customHeight="1" x14ac:dyDescent="0.25">
      <c r="A23" s="76" t="s">
        <v>52</v>
      </c>
      <c r="B23" s="69"/>
      <c r="C23" s="7"/>
      <c r="D23" s="7"/>
      <c r="E23" s="7"/>
      <c r="F23" s="7"/>
      <c r="G23" s="7"/>
      <c r="H23" s="7"/>
      <c r="I23" s="7"/>
      <c r="J23" s="22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5"/>
    </row>
    <row r="24" spans="1:26" ht="15.75" customHeight="1" x14ac:dyDescent="0.25">
      <c r="A24" s="76" t="s">
        <v>53</v>
      </c>
      <c r="B24" s="68"/>
      <c r="C24" s="68"/>
      <c r="D24" s="68"/>
      <c r="E24" s="69"/>
      <c r="F24" s="7"/>
      <c r="G24" s="7"/>
      <c r="H24" s="7"/>
      <c r="I24" s="7"/>
      <c r="J24" s="22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5"/>
    </row>
    <row r="25" spans="1:26" ht="15.75" customHeight="1" x14ac:dyDescent="0.25">
      <c r="A25" s="76" t="s">
        <v>54</v>
      </c>
      <c r="B25" s="69"/>
      <c r="C25" s="7"/>
      <c r="D25" s="36" t="s">
        <v>55</v>
      </c>
      <c r="E25" s="75" t="s">
        <v>56</v>
      </c>
      <c r="F25" s="69"/>
      <c r="G25" s="7"/>
      <c r="H25" s="7"/>
      <c r="I25" s="7"/>
      <c r="J25" s="22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5"/>
    </row>
    <row r="26" spans="1:26" ht="15.75" customHeight="1" x14ac:dyDescent="0.25">
      <c r="A26" s="76" t="s">
        <v>66</v>
      </c>
      <c r="B26" s="69"/>
      <c r="C26" s="7"/>
      <c r="D26" s="25">
        <f>SQRT(C9/B9)</f>
        <v>57.148925842683148</v>
      </c>
      <c r="E26" s="21" t="s">
        <v>28</v>
      </c>
      <c r="F26" s="21"/>
      <c r="G26" s="7"/>
      <c r="H26" s="7"/>
      <c r="I26" s="7"/>
      <c r="J26" s="22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5"/>
    </row>
    <row r="27" spans="1:26" ht="15.75" customHeight="1" x14ac:dyDescent="0.25">
      <c r="A27" s="76" t="s">
        <v>57</v>
      </c>
      <c r="B27" s="69"/>
      <c r="C27" s="7"/>
      <c r="D27" s="23">
        <f>B9</f>
        <v>3636</v>
      </c>
      <c r="E27" s="21" t="s">
        <v>28</v>
      </c>
      <c r="F27" s="7"/>
      <c r="G27" s="7"/>
      <c r="H27" s="7"/>
      <c r="I27" s="7"/>
      <c r="J27" s="22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5"/>
    </row>
    <row r="28" spans="1:26" ht="15.75" customHeight="1" x14ac:dyDescent="0.25">
      <c r="A28" s="9" t="s">
        <v>59</v>
      </c>
      <c r="B28" s="7"/>
      <c r="C28" s="7"/>
      <c r="D28" s="23">
        <f>E9</f>
        <v>70000</v>
      </c>
      <c r="E28" s="21" t="s">
        <v>60</v>
      </c>
      <c r="F28" s="7"/>
      <c r="G28" s="7"/>
      <c r="H28" s="7"/>
      <c r="I28" s="7"/>
      <c r="J28" s="22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5"/>
    </row>
    <row r="29" spans="1:26" ht="15.75" customHeight="1" x14ac:dyDescent="0.25">
      <c r="A29" s="76" t="s">
        <v>61</v>
      </c>
      <c r="B29" s="69"/>
      <c r="C29" s="7"/>
      <c r="D29" s="23">
        <f>C9</f>
        <v>11875175</v>
      </c>
      <c r="E29" s="21" t="s">
        <v>62</v>
      </c>
      <c r="F29" s="7"/>
      <c r="G29" s="7"/>
      <c r="H29" s="7"/>
      <c r="I29" s="7"/>
      <c r="J29" s="22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5"/>
    </row>
    <row r="30" spans="1:26" ht="15.75" customHeight="1" x14ac:dyDescent="0.25">
      <c r="A30" s="76" t="s">
        <v>63</v>
      </c>
      <c r="B30" s="69"/>
      <c r="C30" s="7"/>
      <c r="D30" s="25">
        <f>B14</f>
        <v>1</v>
      </c>
      <c r="E30" s="21" t="s">
        <v>64</v>
      </c>
      <c r="F30" s="7"/>
      <c r="G30" s="7"/>
      <c r="H30" s="7"/>
      <c r="I30" s="7"/>
      <c r="J30" s="22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5"/>
    </row>
    <row r="31" spans="1:26" ht="15.75" customHeight="1" x14ac:dyDescent="0.25">
      <c r="A31" s="76" t="s">
        <v>65</v>
      </c>
      <c r="B31" s="69"/>
      <c r="C31" s="7"/>
      <c r="D31" s="25">
        <f>F9</f>
        <v>260</v>
      </c>
      <c r="E31" s="21" t="s">
        <v>60</v>
      </c>
      <c r="F31" s="7"/>
      <c r="G31" s="7"/>
      <c r="H31" s="7"/>
      <c r="I31" s="7"/>
      <c r="J31" s="22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5"/>
    </row>
    <row r="32" spans="1:26" ht="15.75" customHeight="1" x14ac:dyDescent="0.25">
      <c r="A32" s="76" t="s">
        <v>95</v>
      </c>
      <c r="B32" s="69"/>
      <c r="C32" s="7"/>
      <c r="D32" s="25">
        <f>2*F12</f>
        <v>0</v>
      </c>
      <c r="E32" s="21" t="s">
        <v>28</v>
      </c>
      <c r="F32" s="7"/>
      <c r="G32" s="7"/>
      <c r="H32" s="7"/>
      <c r="I32" s="7"/>
      <c r="J32" s="22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5"/>
    </row>
    <row r="33" spans="1:26" ht="15.75" customHeight="1" x14ac:dyDescent="0.25">
      <c r="A33" s="76" t="s">
        <v>68</v>
      </c>
      <c r="B33" s="69"/>
      <c r="C33" s="7"/>
      <c r="D33" s="25" t="e">
        <f>(PI()^2*E9*C9)/(D32^2)</f>
        <v>#DIV/0!</v>
      </c>
      <c r="E33" s="21" t="s">
        <v>32</v>
      </c>
      <c r="F33" s="7"/>
      <c r="G33" s="7"/>
      <c r="H33" s="7"/>
      <c r="I33" s="7"/>
      <c r="J33" s="22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5"/>
    </row>
    <row r="34" spans="1:26" ht="15.75" customHeight="1" x14ac:dyDescent="0.2">
      <c r="A34" s="26"/>
      <c r="B34" s="7"/>
      <c r="C34" s="84"/>
      <c r="D34" s="7"/>
      <c r="E34" s="7"/>
      <c r="F34" s="7"/>
      <c r="G34" s="7"/>
      <c r="H34" s="7"/>
      <c r="I34" s="7"/>
      <c r="J34" s="22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5"/>
    </row>
    <row r="35" spans="1:26" ht="15.75" customHeight="1" x14ac:dyDescent="0.25">
      <c r="A35" s="76" t="s">
        <v>69</v>
      </c>
      <c r="B35" s="69"/>
      <c r="C35" s="85"/>
      <c r="D35" s="7"/>
      <c r="E35" s="37" t="e">
        <f>SQRT(B9*F9/D33)</f>
        <v>#DIV/0!</v>
      </c>
      <c r="F35" s="7"/>
      <c r="G35" s="7"/>
      <c r="H35" s="7"/>
      <c r="I35" s="7"/>
      <c r="J35" s="22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5"/>
    </row>
    <row r="36" spans="1:26" ht="15.75" customHeight="1" x14ac:dyDescent="0.2">
      <c r="A36" s="26"/>
      <c r="B36" s="7"/>
      <c r="C36" s="85"/>
      <c r="D36" s="7"/>
      <c r="E36" s="7"/>
      <c r="F36" s="7"/>
      <c r="G36" s="7"/>
      <c r="H36" s="7"/>
      <c r="I36" s="7"/>
      <c r="J36" s="22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5"/>
    </row>
    <row r="37" spans="1:26" ht="15.75" customHeight="1" x14ac:dyDescent="0.25">
      <c r="A37" s="9" t="s">
        <v>70</v>
      </c>
      <c r="B37" s="7"/>
      <c r="C37" s="86"/>
      <c r="D37" s="7"/>
      <c r="E37" s="7"/>
      <c r="F37" s="7"/>
      <c r="G37" s="7"/>
      <c r="H37" s="7"/>
      <c r="I37" s="7"/>
      <c r="J37" s="22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5"/>
    </row>
    <row r="38" spans="1:26" ht="15.75" customHeight="1" x14ac:dyDescent="0.25">
      <c r="A38" s="9" t="s">
        <v>71</v>
      </c>
      <c r="B38" s="23">
        <v>0.2</v>
      </c>
      <c r="C38" s="7"/>
      <c r="D38" s="7"/>
      <c r="E38" s="7"/>
      <c r="F38" s="7"/>
      <c r="G38" s="7"/>
      <c r="H38" s="7"/>
      <c r="I38" s="7"/>
      <c r="J38" s="22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5"/>
    </row>
    <row r="39" spans="1:26" ht="15.75" customHeight="1" x14ac:dyDescent="0.25">
      <c r="A39" s="9" t="s">
        <v>72</v>
      </c>
      <c r="B39" s="23">
        <v>0.1</v>
      </c>
      <c r="C39" s="7"/>
      <c r="D39" s="7"/>
      <c r="E39" s="7"/>
      <c r="F39" s="7"/>
      <c r="G39" s="7"/>
      <c r="H39" s="7"/>
      <c r="I39" s="7"/>
      <c r="J39" s="22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5"/>
    </row>
    <row r="40" spans="1:26" ht="15.75" customHeight="1" x14ac:dyDescent="0.25">
      <c r="A40" s="26"/>
      <c r="B40" s="80"/>
      <c r="C40" s="81"/>
      <c r="D40" s="71"/>
      <c r="E40" s="37" t="e">
        <f>0.5*(1+$B$38*(E35-$B$39)+E35^2)</f>
        <v>#DIV/0!</v>
      </c>
      <c r="F40" s="7"/>
      <c r="G40" s="7"/>
      <c r="H40" s="7"/>
      <c r="I40" s="7"/>
      <c r="J40" s="22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5"/>
    </row>
    <row r="41" spans="1:26" ht="15.75" customHeight="1" x14ac:dyDescent="0.2">
      <c r="A41" s="26"/>
      <c r="B41" s="65"/>
      <c r="C41" s="82"/>
      <c r="D41" s="73"/>
      <c r="E41" s="7"/>
      <c r="F41" s="7"/>
      <c r="G41" s="7"/>
      <c r="H41" s="7"/>
      <c r="I41" s="7"/>
      <c r="J41" s="22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5"/>
    </row>
    <row r="42" spans="1:26" ht="15.75" customHeight="1" x14ac:dyDescent="0.2">
      <c r="A42" s="26"/>
      <c r="B42" s="7"/>
      <c r="C42" s="7"/>
      <c r="D42" s="7"/>
      <c r="E42" s="7"/>
      <c r="F42" s="7"/>
      <c r="G42" s="7"/>
      <c r="H42" s="7"/>
      <c r="I42" s="7"/>
      <c r="J42" s="22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5"/>
    </row>
    <row r="43" spans="1:26" ht="15.75" customHeight="1" x14ac:dyDescent="0.25">
      <c r="A43" s="9" t="s">
        <v>73</v>
      </c>
      <c r="B43" s="7"/>
      <c r="C43" s="7"/>
      <c r="D43" s="7"/>
      <c r="E43" s="47" t="e">
        <f>1/(E40+SQRT(E40^2-E35^2))</f>
        <v>#DIV/0!</v>
      </c>
      <c r="F43" s="7"/>
      <c r="G43" s="7"/>
      <c r="H43" s="7"/>
      <c r="I43" s="7"/>
      <c r="J43" s="22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5"/>
    </row>
    <row r="44" spans="1:26" ht="15.75" customHeight="1" x14ac:dyDescent="0.2">
      <c r="A44" s="26"/>
      <c r="B44" s="7"/>
      <c r="C44" s="7"/>
      <c r="D44" s="7"/>
      <c r="E44" s="7"/>
      <c r="F44" s="7"/>
      <c r="G44" s="7"/>
      <c r="H44" s="7"/>
      <c r="I44" s="7"/>
      <c r="J44" s="22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5"/>
    </row>
    <row r="45" spans="1:26" ht="15.75" customHeight="1" x14ac:dyDescent="0.2">
      <c r="A45" s="26"/>
      <c r="B45" s="7"/>
      <c r="C45" s="7"/>
      <c r="D45" s="7"/>
      <c r="E45" s="7"/>
      <c r="F45" s="7"/>
      <c r="G45" s="7"/>
      <c r="H45" s="7"/>
      <c r="I45" s="7"/>
      <c r="J45" s="22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5"/>
    </row>
    <row r="46" spans="1:26" ht="15.75" customHeight="1" x14ac:dyDescent="0.25">
      <c r="A46" s="9" t="s">
        <v>74</v>
      </c>
      <c r="B46" s="7"/>
      <c r="C46" s="7"/>
      <c r="D46" s="7"/>
      <c r="E46" s="25" t="e">
        <f>E43*$B$9*$F$9/$B$14</f>
        <v>#DIV/0!</v>
      </c>
      <c r="F46" s="21" t="s">
        <v>32</v>
      </c>
      <c r="G46" s="7"/>
      <c r="H46" s="7"/>
      <c r="I46" s="7"/>
      <c r="J46" s="22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5"/>
    </row>
    <row r="47" spans="1:26" ht="15.75" customHeight="1" x14ac:dyDescent="0.2">
      <c r="A47" s="26"/>
      <c r="B47" s="7"/>
      <c r="C47" s="7"/>
      <c r="D47" s="7"/>
      <c r="E47" s="7"/>
      <c r="F47" s="7"/>
      <c r="G47" s="7"/>
      <c r="H47" s="7"/>
      <c r="I47" s="7"/>
      <c r="J47" s="22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5"/>
    </row>
    <row r="48" spans="1:26" ht="15.75" customHeight="1" x14ac:dyDescent="0.25">
      <c r="A48" s="9" t="s">
        <v>75</v>
      </c>
      <c r="B48" s="75" t="s">
        <v>76</v>
      </c>
      <c r="C48" s="68"/>
      <c r="D48" s="69"/>
      <c r="E48" s="7"/>
      <c r="F48" s="7"/>
      <c r="G48" s="7"/>
      <c r="H48" s="7"/>
      <c r="I48" s="7"/>
      <c r="J48" s="22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5"/>
    </row>
    <row r="49" spans="1:26" ht="15.75" customHeight="1" x14ac:dyDescent="0.25">
      <c r="A49" s="9" t="s">
        <v>77</v>
      </c>
      <c r="B49" s="75" t="s">
        <v>78</v>
      </c>
      <c r="C49" s="68"/>
      <c r="D49" s="68"/>
      <c r="E49" s="69"/>
      <c r="F49" s="7"/>
      <c r="G49" s="7"/>
      <c r="H49" s="7"/>
      <c r="I49" s="7"/>
      <c r="J49" s="22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5"/>
    </row>
    <row r="50" spans="1:26" ht="15.75" customHeight="1" x14ac:dyDescent="0.2">
      <c r="A50" s="26"/>
      <c r="B50" s="7"/>
      <c r="C50" s="7"/>
      <c r="D50" s="7"/>
      <c r="E50" s="7"/>
      <c r="F50" s="7"/>
      <c r="G50" s="7"/>
      <c r="H50" s="7"/>
      <c r="I50" s="7"/>
      <c r="J50" s="22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5"/>
    </row>
    <row r="51" spans="1:26" ht="15.75" customHeight="1" x14ac:dyDescent="0.25">
      <c r="A51" s="79" t="s">
        <v>96</v>
      </c>
      <c r="B51" s="68"/>
      <c r="C51" s="68"/>
      <c r="D51" s="69"/>
      <c r="E51" s="38" t="s">
        <v>80</v>
      </c>
      <c r="F51" s="39" t="e">
        <f>(F14+E17)/E46</f>
        <v>#DIV/0!</v>
      </c>
      <c r="G51" s="38" t="e">
        <f>IF(F51&lt;=1,"OK","NOT OK")</f>
        <v>#DIV/0!</v>
      </c>
      <c r="H51" s="7"/>
      <c r="I51" s="7"/>
      <c r="J51" s="22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5"/>
    </row>
    <row r="52" spans="1:26" ht="15.75" customHeight="1" x14ac:dyDescent="0.2">
      <c r="A52" s="26"/>
      <c r="B52" s="7"/>
      <c r="C52" s="7"/>
      <c r="D52" s="7"/>
      <c r="E52" s="7"/>
      <c r="F52" s="7"/>
      <c r="G52" s="7"/>
      <c r="H52" s="7"/>
      <c r="I52" s="7"/>
      <c r="J52" s="22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5"/>
    </row>
    <row r="53" spans="1:26" ht="15.75" customHeight="1" x14ac:dyDescent="0.25">
      <c r="A53" s="76" t="s">
        <v>97</v>
      </c>
      <c r="B53" s="68"/>
      <c r="C53" s="69"/>
      <c r="D53" s="75" t="s">
        <v>98</v>
      </c>
      <c r="E53" s="69"/>
      <c r="F53" s="23">
        <f>(F13+E19)*F12</f>
        <v>0</v>
      </c>
      <c r="G53" s="7"/>
      <c r="H53" s="7"/>
      <c r="I53" s="7"/>
      <c r="J53" s="22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5"/>
    </row>
    <row r="54" spans="1:26" ht="15.75" customHeight="1" x14ac:dyDescent="0.2">
      <c r="A54" s="26"/>
      <c r="B54" s="7"/>
      <c r="C54" s="7"/>
      <c r="D54" s="7"/>
      <c r="E54" s="7"/>
      <c r="F54" s="7"/>
      <c r="G54" s="7"/>
      <c r="H54" s="7"/>
      <c r="I54" s="7"/>
      <c r="J54" s="22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5"/>
    </row>
    <row r="55" spans="1:26" ht="15.75" customHeight="1" x14ac:dyDescent="0.25">
      <c r="A55" s="76" t="s">
        <v>99</v>
      </c>
      <c r="B55" s="68"/>
      <c r="C55" s="69"/>
      <c r="D55" s="7"/>
      <c r="E55" s="7"/>
      <c r="F55" s="7"/>
      <c r="G55" s="7"/>
      <c r="H55" s="7"/>
      <c r="I55" s="7"/>
      <c r="J55" s="22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5"/>
    </row>
    <row r="56" spans="1:26" ht="15.75" customHeight="1" x14ac:dyDescent="0.2">
      <c r="A56" s="26"/>
      <c r="B56" s="7"/>
      <c r="C56" s="7"/>
      <c r="D56" s="7"/>
      <c r="E56" s="7"/>
      <c r="F56" s="7"/>
      <c r="G56" s="7"/>
      <c r="H56" s="7"/>
      <c r="I56" s="7"/>
      <c r="J56" s="22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5"/>
    </row>
    <row r="57" spans="1:26" ht="15.75" customHeight="1" x14ac:dyDescent="0.25">
      <c r="A57" s="76" t="s">
        <v>100</v>
      </c>
      <c r="B57" s="68"/>
      <c r="C57" s="69"/>
      <c r="D57" s="7"/>
      <c r="E57" s="7"/>
      <c r="F57" s="7"/>
      <c r="G57" s="7"/>
      <c r="H57" s="7"/>
      <c r="I57" s="7"/>
      <c r="J57" s="22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5"/>
    </row>
    <row r="58" spans="1:26" ht="15.75" customHeight="1" x14ac:dyDescent="0.25">
      <c r="A58" s="26"/>
      <c r="B58" s="36" t="s">
        <v>101</v>
      </c>
      <c r="C58" s="36" t="s">
        <v>102</v>
      </c>
      <c r="D58" s="36" t="s">
        <v>103</v>
      </c>
      <c r="E58" s="7"/>
      <c r="F58" s="7"/>
      <c r="G58" s="7"/>
      <c r="H58" s="7"/>
      <c r="I58" s="7"/>
      <c r="J58" s="22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5"/>
    </row>
    <row r="59" spans="1:26" ht="15.75" customHeight="1" x14ac:dyDescent="0.25">
      <c r="A59" s="26"/>
      <c r="B59" s="23">
        <f>A9</f>
        <v>180</v>
      </c>
      <c r="C59" s="25">
        <f>C9/(A9/2)</f>
        <v>131946.38888888888</v>
      </c>
      <c r="D59" s="25">
        <f>F$9/B14*C59</f>
        <v>34306061.111111104</v>
      </c>
      <c r="E59" s="7"/>
      <c r="F59" s="7"/>
      <c r="G59" s="7"/>
      <c r="H59" s="7"/>
      <c r="I59" s="7"/>
      <c r="J59" s="22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5"/>
    </row>
    <row r="60" spans="1:26" ht="15.75" customHeight="1" x14ac:dyDescent="0.2">
      <c r="A60" s="26"/>
      <c r="B60" s="7"/>
      <c r="C60" s="7"/>
      <c r="D60" s="7"/>
      <c r="E60" s="7"/>
      <c r="F60" s="7"/>
      <c r="G60" s="7"/>
      <c r="H60" s="7"/>
      <c r="I60" s="7"/>
      <c r="J60" s="22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5"/>
    </row>
    <row r="61" spans="1:26" ht="15.75" customHeight="1" x14ac:dyDescent="0.25">
      <c r="A61" s="76" t="s">
        <v>104</v>
      </c>
      <c r="B61" s="68"/>
      <c r="C61" s="69"/>
      <c r="D61" s="25">
        <f>F14+E17</f>
        <v>0</v>
      </c>
      <c r="E61" s="21" t="s">
        <v>32</v>
      </c>
      <c r="F61" s="7"/>
      <c r="G61" s="7"/>
      <c r="H61" s="7"/>
      <c r="I61" s="7"/>
      <c r="J61" s="22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5"/>
    </row>
    <row r="62" spans="1:26" ht="15.75" customHeight="1" x14ac:dyDescent="0.25">
      <c r="A62" s="76" t="s">
        <v>105</v>
      </c>
      <c r="B62" s="69"/>
      <c r="C62" s="21" t="s">
        <v>106</v>
      </c>
      <c r="D62" s="25">
        <f>F9/B14*B9</f>
        <v>945360</v>
      </c>
      <c r="E62" s="21" t="s">
        <v>32</v>
      </c>
      <c r="F62" s="7"/>
      <c r="G62" s="7"/>
      <c r="H62" s="7"/>
      <c r="I62" s="7"/>
      <c r="J62" s="22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5"/>
    </row>
    <row r="63" spans="1:26" ht="15.75" customHeight="1" x14ac:dyDescent="0.2">
      <c r="A63" s="26"/>
      <c r="B63" s="7"/>
      <c r="C63" s="7"/>
      <c r="D63" s="7"/>
      <c r="E63" s="7"/>
      <c r="F63" s="7"/>
      <c r="G63" s="7"/>
      <c r="H63" s="7"/>
      <c r="I63" s="7"/>
      <c r="J63" s="22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5"/>
    </row>
    <row r="64" spans="1:26" ht="15.75" customHeight="1" x14ac:dyDescent="0.25">
      <c r="A64" s="76" t="s">
        <v>107</v>
      </c>
      <c r="B64" s="68"/>
      <c r="C64" s="69"/>
      <c r="D64" s="80"/>
      <c r="E64" s="71"/>
      <c r="F64" s="7"/>
      <c r="G64" s="7"/>
      <c r="H64" s="7"/>
      <c r="I64" s="7"/>
      <c r="J64" s="22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5"/>
    </row>
    <row r="65" spans="1:26" ht="15.75" customHeight="1" x14ac:dyDescent="0.25">
      <c r="A65" s="76" t="s">
        <v>108</v>
      </c>
      <c r="B65" s="68"/>
      <c r="C65" s="69"/>
      <c r="D65" s="63"/>
      <c r="E65" s="72"/>
      <c r="F65" s="7"/>
      <c r="G65" s="7"/>
      <c r="H65" s="7"/>
      <c r="I65" s="7"/>
      <c r="J65" s="22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5"/>
    </row>
    <row r="66" spans="1:26" ht="15.75" customHeight="1" x14ac:dyDescent="0.2">
      <c r="A66" s="26"/>
      <c r="B66" s="7"/>
      <c r="C66" s="7"/>
      <c r="D66" s="65"/>
      <c r="E66" s="73"/>
      <c r="F66" s="7"/>
      <c r="G66" s="7"/>
      <c r="H66" s="7"/>
      <c r="I66" s="7"/>
      <c r="J66" s="22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5"/>
    </row>
    <row r="67" spans="1:26" ht="15.75" customHeight="1" x14ac:dyDescent="0.25">
      <c r="A67" s="79" t="s">
        <v>109</v>
      </c>
      <c r="B67" s="68"/>
      <c r="C67" s="69"/>
      <c r="D67" s="48"/>
      <c r="E67" s="48"/>
      <c r="F67" s="49">
        <f>(D61/D62)^1.3+(F53/D59)</f>
        <v>0</v>
      </c>
      <c r="G67" s="38" t="str">
        <f>IF(F67&lt;=1,"OK","NOT OK")</f>
        <v>OK</v>
      </c>
      <c r="H67" s="7"/>
      <c r="I67" s="7"/>
      <c r="J67" s="22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5"/>
    </row>
    <row r="68" spans="1:26" ht="15.75" customHeight="1" x14ac:dyDescent="0.2">
      <c r="A68" s="26"/>
      <c r="B68" s="7"/>
      <c r="C68" s="7"/>
      <c r="D68" s="7"/>
      <c r="E68" s="7"/>
      <c r="F68" s="7"/>
      <c r="G68" s="7"/>
      <c r="H68" s="7"/>
      <c r="I68" s="7"/>
      <c r="J68" s="22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5"/>
    </row>
    <row r="69" spans="1:26" ht="15.75" customHeight="1" x14ac:dyDescent="0.25">
      <c r="A69" s="15" t="s">
        <v>110</v>
      </c>
      <c r="B69" s="17"/>
      <c r="C69" s="17"/>
      <c r="D69" s="17"/>
      <c r="E69" s="17"/>
      <c r="F69" s="17"/>
      <c r="G69" s="17"/>
      <c r="H69" s="17"/>
      <c r="I69" s="17"/>
      <c r="J69" s="20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5"/>
    </row>
    <row r="70" spans="1:26" ht="15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5"/>
    </row>
    <row r="71" spans="1:26" ht="15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5"/>
    </row>
    <row r="72" spans="1:26" ht="15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5"/>
    </row>
    <row r="73" spans="1:26" ht="15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5"/>
    </row>
    <row r="74" spans="1:26" ht="15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5"/>
    </row>
    <row r="75" spans="1:26" ht="15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5"/>
    </row>
    <row r="76" spans="1:26" ht="15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5"/>
    </row>
    <row r="77" spans="1:26" ht="15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5"/>
    </row>
    <row r="78" spans="1:26" ht="15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5"/>
    </row>
    <row r="79" spans="1:26" ht="15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5"/>
    </row>
    <row r="80" spans="1:26" ht="15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5"/>
    </row>
    <row r="81" spans="1:26" ht="15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5"/>
    </row>
    <row r="82" spans="1:26" ht="15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5"/>
    </row>
    <row r="83" spans="1:26" ht="15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5"/>
    </row>
    <row r="84" spans="1:26" ht="15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5"/>
    </row>
    <row r="85" spans="1:26" ht="15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5"/>
    </row>
    <row r="86" spans="1:26" ht="15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5"/>
    </row>
    <row r="87" spans="1:26" ht="15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5"/>
    </row>
    <row r="88" spans="1:26" ht="15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5"/>
    </row>
    <row r="89" spans="1:26" ht="15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5"/>
    </row>
    <row r="90" spans="1:26" ht="15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5"/>
    </row>
    <row r="91" spans="1:26" ht="15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5"/>
    </row>
    <row r="92" spans="1:26" ht="15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5"/>
    </row>
    <row r="93" spans="1:26" ht="15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5"/>
    </row>
    <row r="94" spans="1:26" ht="15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5"/>
    </row>
    <row r="95" spans="1:26" ht="15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5"/>
    </row>
    <row r="96" spans="1:26" ht="15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5"/>
    </row>
    <row r="97" spans="1:26" ht="15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5"/>
    </row>
    <row r="98" spans="1:26" ht="15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5"/>
    </row>
    <row r="99" spans="1:26" ht="15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5"/>
    </row>
    <row r="100" spans="1:26" ht="15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5"/>
    </row>
    <row r="101" spans="1:26" ht="15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5"/>
    </row>
    <row r="102" spans="1:26" ht="15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5"/>
    </row>
    <row r="103" spans="1:26" ht="15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5"/>
    </row>
    <row r="104" spans="1:26" ht="15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5"/>
    </row>
    <row r="105" spans="1:26" ht="15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5"/>
    </row>
    <row r="106" spans="1:26" ht="15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5"/>
    </row>
    <row r="107" spans="1:26" ht="15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5"/>
    </row>
    <row r="108" spans="1:26" ht="15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5"/>
    </row>
    <row r="109" spans="1:26" ht="15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5"/>
    </row>
    <row r="110" spans="1:26" ht="15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5"/>
    </row>
    <row r="111" spans="1:26" ht="15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5"/>
    </row>
    <row r="112" spans="1:26" ht="15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5"/>
    </row>
    <row r="113" spans="1:26" ht="15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5"/>
    </row>
    <row r="114" spans="1:26" ht="15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5"/>
    </row>
    <row r="115" spans="1:26" ht="15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5"/>
    </row>
    <row r="116" spans="1:26" ht="15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5"/>
    </row>
    <row r="117" spans="1:26" ht="15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5"/>
    </row>
    <row r="118" spans="1:26" ht="15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5"/>
    </row>
    <row r="119" spans="1:26" ht="15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5"/>
    </row>
    <row r="120" spans="1:26" ht="15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5"/>
    </row>
    <row r="121" spans="1:26" ht="15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5"/>
    </row>
    <row r="122" spans="1:26" ht="15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5"/>
    </row>
    <row r="123" spans="1:26" ht="15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5"/>
    </row>
    <row r="124" spans="1:26" ht="15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5"/>
    </row>
    <row r="125" spans="1:26" ht="15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5"/>
    </row>
    <row r="126" spans="1:26" ht="15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5"/>
    </row>
    <row r="127" spans="1:26" ht="15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5"/>
    </row>
    <row r="128" spans="1:26" ht="15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5"/>
    </row>
    <row r="129" spans="1:26" ht="15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5"/>
    </row>
    <row r="130" spans="1:26" ht="15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5"/>
    </row>
    <row r="131" spans="1:26" ht="15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5"/>
    </row>
    <row r="132" spans="1:26" ht="15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5"/>
    </row>
    <row r="133" spans="1:26" ht="15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5"/>
    </row>
    <row r="134" spans="1:26" ht="15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5"/>
    </row>
    <row r="135" spans="1:26" ht="15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5"/>
    </row>
    <row r="136" spans="1:26" ht="15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5"/>
    </row>
    <row r="137" spans="1:26" ht="15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5"/>
    </row>
    <row r="138" spans="1:26" ht="15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5"/>
    </row>
    <row r="139" spans="1:26" ht="15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5"/>
    </row>
    <row r="140" spans="1:26" ht="15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5"/>
    </row>
    <row r="141" spans="1:26" ht="15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5"/>
    </row>
    <row r="142" spans="1:26" ht="15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5"/>
    </row>
    <row r="143" spans="1:26" ht="15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5"/>
    </row>
    <row r="144" spans="1:26" ht="15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5"/>
    </row>
    <row r="145" spans="1:26" ht="15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5"/>
    </row>
    <row r="146" spans="1:26" ht="15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5"/>
    </row>
    <row r="147" spans="1:26" ht="15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5"/>
    </row>
    <row r="148" spans="1:26" ht="15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5"/>
    </row>
    <row r="149" spans="1:26" ht="15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5"/>
    </row>
    <row r="150" spans="1:26" ht="15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5"/>
    </row>
    <row r="151" spans="1:26" ht="15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5"/>
    </row>
    <row r="152" spans="1:26" ht="15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5"/>
    </row>
    <row r="153" spans="1:26" ht="15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5"/>
    </row>
    <row r="154" spans="1:26" ht="15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5"/>
    </row>
    <row r="155" spans="1:26" ht="15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5"/>
    </row>
    <row r="156" spans="1:26" ht="15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5"/>
    </row>
    <row r="157" spans="1:26" ht="15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5"/>
    </row>
    <row r="158" spans="1:26" ht="15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5"/>
    </row>
    <row r="159" spans="1:26" ht="15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5"/>
    </row>
    <row r="160" spans="1:26" ht="15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5"/>
    </row>
    <row r="161" spans="1:26" ht="15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5"/>
    </row>
    <row r="162" spans="1:26" ht="15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5"/>
    </row>
    <row r="163" spans="1:26" ht="15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5"/>
    </row>
    <row r="164" spans="1:26" ht="15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5"/>
    </row>
    <row r="165" spans="1:26" ht="15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5"/>
    </row>
    <row r="166" spans="1:26" ht="15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5"/>
    </row>
    <row r="167" spans="1:26" ht="15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5"/>
    </row>
    <row r="168" spans="1:26" ht="15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5"/>
    </row>
    <row r="169" spans="1:26" ht="15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5"/>
    </row>
    <row r="170" spans="1:26" ht="15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5"/>
    </row>
    <row r="171" spans="1:26" ht="15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5"/>
    </row>
    <row r="172" spans="1:26" ht="15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5"/>
    </row>
    <row r="173" spans="1:26" ht="15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5"/>
    </row>
    <row r="174" spans="1:26" ht="15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5"/>
    </row>
    <row r="175" spans="1:26" ht="15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5"/>
    </row>
    <row r="176" spans="1:26" ht="15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5"/>
    </row>
    <row r="177" spans="1:26" ht="15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5"/>
    </row>
    <row r="178" spans="1:26" ht="15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5"/>
    </row>
    <row r="179" spans="1:26" ht="15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5"/>
    </row>
    <row r="180" spans="1:26" ht="15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5"/>
    </row>
    <row r="181" spans="1:26" ht="15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5"/>
    </row>
    <row r="182" spans="1:26" ht="15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5"/>
    </row>
    <row r="183" spans="1:26" ht="15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5"/>
    </row>
    <row r="184" spans="1:26" ht="15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5"/>
    </row>
    <row r="185" spans="1:26" ht="15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5"/>
    </row>
    <row r="186" spans="1:26" ht="15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5"/>
    </row>
    <row r="187" spans="1:26" ht="15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5"/>
    </row>
    <row r="188" spans="1:26" ht="15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5"/>
    </row>
    <row r="189" spans="1:26" ht="15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5"/>
    </row>
    <row r="190" spans="1:26" ht="15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5"/>
    </row>
    <row r="191" spans="1:26" ht="15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5"/>
    </row>
    <row r="192" spans="1:26" ht="15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5"/>
    </row>
    <row r="193" spans="1:26" ht="15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5"/>
    </row>
    <row r="194" spans="1:26" ht="15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5"/>
    </row>
    <row r="195" spans="1:26" ht="15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5"/>
    </row>
    <row r="196" spans="1:26" ht="15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5"/>
    </row>
    <row r="197" spans="1:26" ht="15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5"/>
    </row>
    <row r="198" spans="1:26" ht="15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5"/>
    </row>
    <row r="199" spans="1:26" ht="15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5"/>
    </row>
    <row r="200" spans="1:26" ht="15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5"/>
    </row>
    <row r="201" spans="1:26" ht="15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5"/>
    </row>
    <row r="202" spans="1:26" ht="15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5"/>
    </row>
    <row r="203" spans="1:26" ht="15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5"/>
    </row>
    <row r="204" spans="1:26" ht="15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5"/>
    </row>
    <row r="205" spans="1:26" ht="15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5"/>
    </row>
    <row r="206" spans="1:26" ht="15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5"/>
    </row>
    <row r="207" spans="1:26" ht="15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5"/>
    </row>
    <row r="208" spans="1:26" ht="15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5"/>
    </row>
    <row r="209" spans="1:26" ht="15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5"/>
    </row>
    <row r="210" spans="1:26" ht="15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5"/>
    </row>
    <row r="211" spans="1:26" ht="15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5"/>
    </row>
    <row r="212" spans="1:26" ht="15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5"/>
    </row>
    <row r="213" spans="1:26" ht="15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5"/>
    </row>
    <row r="214" spans="1:26" ht="15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5"/>
    </row>
    <row r="215" spans="1:26" ht="15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5"/>
    </row>
    <row r="216" spans="1:26" ht="15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5"/>
    </row>
    <row r="217" spans="1:26" ht="15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5"/>
    </row>
    <row r="218" spans="1:26" ht="15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5"/>
    </row>
    <row r="219" spans="1:26" ht="15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5"/>
    </row>
    <row r="220" spans="1:26" ht="15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5"/>
    </row>
    <row r="221" spans="1:26" ht="15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5"/>
    </row>
    <row r="222" spans="1:26" ht="15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5"/>
    </row>
    <row r="223" spans="1:26" ht="15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5"/>
    </row>
    <row r="224" spans="1:26" ht="15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5"/>
    </row>
    <row r="225" spans="1:26" ht="15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5"/>
    </row>
    <row r="226" spans="1:26" ht="15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5"/>
    </row>
    <row r="227" spans="1:26" ht="15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5"/>
    </row>
    <row r="228" spans="1:26" ht="15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5"/>
    </row>
    <row r="229" spans="1:26" ht="15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5"/>
    </row>
    <row r="230" spans="1:26" ht="15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5"/>
    </row>
    <row r="231" spans="1:26" ht="15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5"/>
    </row>
    <row r="232" spans="1:26" ht="15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5"/>
    </row>
    <row r="233" spans="1:26" ht="15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5"/>
    </row>
    <row r="234" spans="1:26" ht="15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5"/>
    </row>
    <row r="235" spans="1:26" ht="15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5"/>
    </row>
    <row r="236" spans="1:26" ht="15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5"/>
    </row>
    <row r="237" spans="1:26" ht="15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5"/>
    </row>
    <row r="238" spans="1:26" ht="15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5"/>
    </row>
    <row r="239" spans="1:26" ht="15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5"/>
    </row>
    <row r="240" spans="1:26" ht="15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5"/>
    </row>
    <row r="241" spans="1:26" ht="15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5"/>
    </row>
    <row r="242" spans="1:26" ht="15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5"/>
    </row>
    <row r="243" spans="1:26" ht="15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5"/>
    </row>
    <row r="244" spans="1:26" ht="15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5"/>
    </row>
    <row r="245" spans="1:26" ht="15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5"/>
    </row>
    <row r="246" spans="1:26" ht="15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5"/>
    </row>
    <row r="247" spans="1:26" ht="15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5"/>
    </row>
    <row r="248" spans="1:26" ht="15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5"/>
    </row>
    <row r="249" spans="1:26" ht="15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5"/>
    </row>
    <row r="250" spans="1:26" ht="15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5"/>
    </row>
    <row r="251" spans="1:26" ht="15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5"/>
    </row>
    <row r="252" spans="1:26" ht="15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5"/>
    </row>
    <row r="253" spans="1:26" ht="15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5"/>
    </row>
    <row r="254" spans="1:26" ht="15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5"/>
    </row>
    <row r="255" spans="1:26" ht="15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5"/>
    </row>
    <row r="256" spans="1:26" ht="15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5"/>
    </row>
    <row r="257" spans="1:26" ht="15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5"/>
    </row>
    <row r="258" spans="1:26" ht="15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5"/>
    </row>
    <row r="259" spans="1:26" ht="15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5"/>
    </row>
    <row r="260" spans="1:26" ht="15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5"/>
    </row>
    <row r="261" spans="1:26" ht="15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5"/>
    </row>
    <row r="262" spans="1:26" ht="15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5"/>
    </row>
    <row r="263" spans="1:26" ht="15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5"/>
    </row>
    <row r="264" spans="1:26" ht="15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5"/>
    </row>
    <row r="265" spans="1:26" ht="15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5"/>
    </row>
    <row r="266" spans="1:26" ht="15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5"/>
    </row>
    <row r="267" spans="1:26" ht="15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5"/>
    </row>
    <row r="268" spans="1:26" ht="15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5"/>
    </row>
    <row r="269" spans="1:26" ht="15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5"/>
    </row>
    <row r="270" spans="1:26" ht="15.75" customHeight="1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2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2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2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2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2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2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2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2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2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2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2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2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2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2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2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2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2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2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2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2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2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2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2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2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2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2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2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2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2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2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2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2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2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2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2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2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2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2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2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2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2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2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2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2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2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2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2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2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2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2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2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2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2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2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2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2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2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2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2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2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2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2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2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2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2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2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2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2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2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2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2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2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2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2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2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2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2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2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2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2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2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2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2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2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2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2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2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2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2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2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2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2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2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2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2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2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2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2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2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2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2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2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2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2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2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2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2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2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2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2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2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2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2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2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2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2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2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2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2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2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2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2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2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2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2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2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2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2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2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2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2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2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2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2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2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2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2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2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2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2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2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2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2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2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2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2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2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2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2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2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2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2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2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2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2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2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2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2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2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2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2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2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2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2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2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2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2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2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2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2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2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2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2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2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2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2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2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2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2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2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2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2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2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2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2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2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2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2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2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2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2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2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2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2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2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2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2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2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2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2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2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2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2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2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2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2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2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2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2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2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2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2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2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2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2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2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 x14ac:dyDescent="0.2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 x14ac:dyDescent="0.2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 x14ac:dyDescent="0.2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 x14ac:dyDescent="0.2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 x14ac:dyDescent="0.2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 x14ac:dyDescent="0.2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 x14ac:dyDescent="0.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 x14ac:dyDescent="0.2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 x14ac:dyDescent="0.2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 x14ac:dyDescent="0.2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 x14ac:dyDescent="0.2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 x14ac:dyDescent="0.2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 x14ac:dyDescent="0.2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 x14ac:dyDescent="0.2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 x14ac:dyDescent="0.2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 x14ac:dyDescent="0.2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 x14ac:dyDescent="0.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 x14ac:dyDescent="0.2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 x14ac:dyDescent="0.2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 x14ac:dyDescent="0.2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 x14ac:dyDescent="0.2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75" customHeight="1" x14ac:dyDescent="0.2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75" customHeight="1" x14ac:dyDescent="0.2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.75" customHeight="1" x14ac:dyDescent="0.2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5.75" customHeight="1" x14ac:dyDescent="0.2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42">
    <mergeCell ref="A62:B62"/>
    <mergeCell ref="A64:C64"/>
    <mergeCell ref="D64:E66"/>
    <mergeCell ref="A65:C65"/>
    <mergeCell ref="A67:C67"/>
    <mergeCell ref="A33:B33"/>
    <mergeCell ref="C34:C37"/>
    <mergeCell ref="A35:B35"/>
    <mergeCell ref="A57:C57"/>
    <mergeCell ref="A61:C61"/>
    <mergeCell ref="B40:D41"/>
    <mergeCell ref="B48:D48"/>
    <mergeCell ref="B49:E49"/>
    <mergeCell ref="A51:D51"/>
    <mergeCell ref="A53:C53"/>
    <mergeCell ref="D53:E53"/>
    <mergeCell ref="A55:C55"/>
    <mergeCell ref="A27:B27"/>
    <mergeCell ref="A29:B29"/>
    <mergeCell ref="A30:B30"/>
    <mergeCell ref="A31:B31"/>
    <mergeCell ref="A32:B32"/>
    <mergeCell ref="A23:B23"/>
    <mergeCell ref="A24:E24"/>
    <mergeCell ref="A25:B25"/>
    <mergeCell ref="E25:F25"/>
    <mergeCell ref="A26:B26"/>
    <mergeCell ref="A16:B16"/>
    <mergeCell ref="A17:B17"/>
    <mergeCell ref="A19:B19"/>
    <mergeCell ref="C19:D19"/>
    <mergeCell ref="A21:D21"/>
    <mergeCell ref="A11:B11"/>
    <mergeCell ref="D11:F11"/>
    <mergeCell ref="D12:E12"/>
    <mergeCell ref="D13:E13"/>
    <mergeCell ref="D14:E14"/>
    <mergeCell ref="A1:D1"/>
    <mergeCell ref="I1:J5"/>
    <mergeCell ref="B2:D2"/>
    <mergeCell ref="G2:H4"/>
    <mergeCell ref="G8:H8"/>
  </mergeCells>
  <printOptions horizontalCentered="1" gridLines="1"/>
  <pageMargins left="0.7" right="0.7" top="0.75" bottom="0.75" header="0" footer="0"/>
  <pageSetup paperSize="9" pageOrder="overThenDown" orientation="portrait" cellComments="atEnd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100-000000000000}">
          <x14:formula1>
            <xm:f>'Ark 2'!$A$4:$A$7</xm:f>
          </x14:formula1>
          <xm:sqref>A9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Z1000"/>
  <sheetViews>
    <sheetView workbookViewId="0"/>
  </sheetViews>
  <sheetFormatPr baseColWidth="10" defaultColWidth="12.5703125" defaultRowHeight="15" customHeight="1" x14ac:dyDescent="0.2"/>
  <cols>
    <col min="1" max="1" width="13.85546875" customWidth="1"/>
    <col min="2" max="2" width="13.7109375" customWidth="1"/>
    <col min="3" max="25" width="12.5703125" customWidth="1"/>
  </cols>
  <sheetData>
    <row r="1" spans="1:26" ht="15.75" customHeight="1" x14ac:dyDescent="0.3">
      <c r="A1" s="58" t="s">
        <v>0</v>
      </c>
      <c r="B1" s="59"/>
      <c r="C1" s="59"/>
      <c r="D1" s="60"/>
      <c r="E1" s="1"/>
      <c r="F1" s="1"/>
      <c r="G1" s="2"/>
      <c r="H1" s="3"/>
      <c r="I1" s="61"/>
      <c r="J1" s="62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5"/>
    </row>
    <row r="2" spans="1:26" ht="15" customHeight="1" x14ac:dyDescent="0.25">
      <c r="A2" s="6" t="s">
        <v>1</v>
      </c>
      <c r="B2" s="67" t="s">
        <v>2</v>
      </c>
      <c r="C2" s="68"/>
      <c r="D2" s="68"/>
      <c r="E2" s="69"/>
      <c r="F2" s="7"/>
      <c r="G2" s="70" t="s">
        <v>3</v>
      </c>
      <c r="H2" s="71"/>
      <c r="I2" s="63"/>
      <c r="J2" s="6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5"/>
    </row>
    <row r="3" spans="1:26" ht="15" customHeight="1" x14ac:dyDescent="0.2">
      <c r="A3" s="74" t="s">
        <v>111</v>
      </c>
      <c r="B3" s="69"/>
      <c r="C3" s="7"/>
      <c r="D3" s="7"/>
      <c r="E3" s="7"/>
      <c r="F3" s="7"/>
      <c r="G3" s="63"/>
      <c r="H3" s="72"/>
      <c r="I3" s="63"/>
      <c r="J3" s="6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5"/>
    </row>
    <row r="4" spans="1:26" ht="15" customHeight="1" x14ac:dyDescent="0.25">
      <c r="A4" s="9" t="s">
        <v>5</v>
      </c>
      <c r="B4" s="50"/>
      <c r="C4" s="7"/>
      <c r="D4" s="7"/>
      <c r="E4" s="7"/>
      <c r="F4" s="7"/>
      <c r="G4" s="65"/>
      <c r="H4" s="73"/>
      <c r="I4" s="63"/>
      <c r="J4" s="6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5"/>
    </row>
    <row r="5" spans="1:26" ht="15" customHeight="1" x14ac:dyDescent="0.25">
      <c r="A5" s="9" t="s">
        <v>7</v>
      </c>
      <c r="B5" s="51"/>
      <c r="C5" s="7"/>
      <c r="D5" s="7"/>
      <c r="E5" s="7"/>
      <c r="F5" s="7"/>
      <c r="G5" s="12"/>
      <c r="H5" s="12"/>
      <c r="I5" s="65"/>
      <c r="J5" s="66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5"/>
    </row>
    <row r="6" spans="1:26" ht="15.75" customHeight="1" x14ac:dyDescent="0.25">
      <c r="A6" s="15" t="s">
        <v>8</v>
      </c>
      <c r="B6" s="52"/>
      <c r="C6" s="17"/>
      <c r="D6" s="17"/>
      <c r="E6" s="17"/>
      <c r="F6" s="17"/>
      <c r="G6" s="17"/>
      <c r="H6" s="19"/>
      <c r="I6" s="17"/>
      <c r="J6" s="20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5"/>
    </row>
    <row r="7" spans="1:26" ht="15.75" customHeight="1" x14ac:dyDescent="0.25">
      <c r="A7" s="9" t="s">
        <v>9</v>
      </c>
      <c r="B7" s="21" t="s">
        <v>10</v>
      </c>
      <c r="C7" s="21" t="s">
        <v>11</v>
      </c>
      <c r="D7" s="21" t="s">
        <v>12</v>
      </c>
      <c r="E7" s="21" t="s">
        <v>13</v>
      </c>
      <c r="F7" s="21" t="s">
        <v>14</v>
      </c>
      <c r="G7" s="21" t="s">
        <v>15</v>
      </c>
      <c r="H7" s="7"/>
      <c r="I7" s="7"/>
      <c r="J7" s="22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5"/>
    </row>
    <row r="8" spans="1:26" ht="15.75" customHeight="1" x14ac:dyDescent="0.25">
      <c r="A8" s="15" t="s">
        <v>16</v>
      </c>
      <c r="B8" s="23" t="s">
        <v>17</v>
      </c>
      <c r="C8" s="23" t="s">
        <v>18</v>
      </c>
      <c r="D8" s="23" t="s">
        <v>19</v>
      </c>
      <c r="E8" s="23" t="s">
        <v>20</v>
      </c>
      <c r="F8" s="23" t="s">
        <v>21</v>
      </c>
      <c r="G8" s="75" t="s">
        <v>83</v>
      </c>
      <c r="H8" s="69"/>
      <c r="I8" s="7"/>
      <c r="J8" s="22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5"/>
    </row>
    <row r="9" spans="1:26" ht="15.75" customHeight="1" x14ac:dyDescent="0.25">
      <c r="A9" s="24">
        <v>400</v>
      </c>
      <c r="B9" s="23">
        <f>VLOOKUP($A9,'Ark 2'!$A4:$F7,2,0)</f>
        <v>8306.66</v>
      </c>
      <c r="C9" s="23">
        <f>VLOOKUP($A9,'Ark 2'!$A4:$F7,3,0)</f>
        <v>153190000</v>
      </c>
      <c r="D9" s="25">
        <f>VLOOKUP($A9,'Ark 2'!$A4:$F7,4,0)</f>
        <v>7659500</v>
      </c>
      <c r="E9" s="23">
        <v>70000</v>
      </c>
      <c r="F9" s="23">
        <f>VLOOKUP($A9,'Ark 2'!$A4:$F7,5,0)</f>
        <v>260</v>
      </c>
      <c r="G9" s="23">
        <f>VLOOKUP($A9,'Ark 2'!$A4:$F7,6,0)</f>
        <v>0.2243</v>
      </c>
      <c r="H9" s="7"/>
      <c r="I9" s="7"/>
      <c r="J9" s="22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5"/>
    </row>
    <row r="10" spans="1:26" ht="15.75" customHeight="1" x14ac:dyDescent="0.2">
      <c r="A10" s="26"/>
      <c r="B10" s="7"/>
      <c r="C10" s="7"/>
      <c r="D10" s="7"/>
      <c r="E10" s="7"/>
      <c r="F10" s="7"/>
      <c r="G10" s="7"/>
      <c r="H10" s="7"/>
      <c r="I10" s="7"/>
      <c r="J10" s="22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5"/>
    </row>
    <row r="11" spans="1:26" ht="15.75" customHeight="1" x14ac:dyDescent="0.2">
      <c r="A11" s="26"/>
      <c r="B11" s="7"/>
      <c r="C11" s="7"/>
      <c r="D11" s="7"/>
      <c r="E11" s="7"/>
      <c r="F11" s="7"/>
      <c r="G11" s="7"/>
      <c r="H11" s="7"/>
      <c r="I11" s="7"/>
      <c r="J11" s="22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5"/>
    </row>
    <row r="12" spans="1:26" ht="15.75" customHeight="1" x14ac:dyDescent="0.25">
      <c r="A12" s="76" t="s">
        <v>112</v>
      </c>
      <c r="B12" s="68"/>
      <c r="C12" s="69"/>
      <c r="D12" s="75" t="s">
        <v>24</v>
      </c>
      <c r="E12" s="68"/>
      <c r="F12" s="69"/>
      <c r="G12" s="7"/>
      <c r="H12" s="7"/>
      <c r="I12" s="7"/>
      <c r="J12" s="22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5"/>
    </row>
    <row r="13" spans="1:26" ht="15.75" customHeight="1" x14ac:dyDescent="0.25">
      <c r="A13" s="27" t="s">
        <v>25</v>
      </c>
      <c r="B13" s="41" t="s">
        <v>113</v>
      </c>
      <c r="C13" s="7"/>
      <c r="D13" s="75" t="s">
        <v>27</v>
      </c>
      <c r="E13" s="69"/>
      <c r="F13" s="29">
        <v>0</v>
      </c>
      <c r="G13" s="21" t="s">
        <v>28</v>
      </c>
      <c r="H13" s="7"/>
      <c r="I13" s="7"/>
      <c r="J13" s="22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5"/>
    </row>
    <row r="14" spans="1:26" ht="15.75" customHeight="1" x14ac:dyDescent="0.25">
      <c r="A14" s="27" t="s">
        <v>29</v>
      </c>
      <c r="B14" s="53">
        <v>0</v>
      </c>
      <c r="C14" s="21" t="s">
        <v>30</v>
      </c>
      <c r="D14" s="75" t="s">
        <v>31</v>
      </c>
      <c r="E14" s="69"/>
      <c r="F14" s="30">
        <v>0</v>
      </c>
      <c r="G14" s="21" t="s">
        <v>32</v>
      </c>
      <c r="H14" s="7"/>
      <c r="I14" s="7"/>
      <c r="J14" s="22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5"/>
    </row>
    <row r="15" spans="1:26" ht="15.75" customHeight="1" x14ac:dyDescent="0.25">
      <c r="A15" s="27" t="s">
        <v>33</v>
      </c>
      <c r="B15" s="53">
        <v>0</v>
      </c>
      <c r="C15" s="21" t="s">
        <v>34</v>
      </c>
      <c r="D15" s="75" t="s">
        <v>35</v>
      </c>
      <c r="E15" s="69"/>
      <c r="F15" s="30">
        <v>0</v>
      </c>
      <c r="G15" s="21" t="s">
        <v>32</v>
      </c>
      <c r="H15" s="7"/>
      <c r="I15" s="7"/>
      <c r="J15" s="22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5"/>
    </row>
    <row r="16" spans="1:26" ht="15.75" customHeight="1" x14ac:dyDescent="0.25">
      <c r="A16" s="27" t="s">
        <v>114</v>
      </c>
      <c r="B16" s="42">
        <v>0</v>
      </c>
      <c r="C16" s="7"/>
      <c r="D16" s="21" t="s">
        <v>37</v>
      </c>
      <c r="E16" s="31" t="s">
        <v>38</v>
      </c>
      <c r="F16" s="30">
        <v>0</v>
      </c>
      <c r="G16" s="21" t="s">
        <v>32</v>
      </c>
      <c r="H16" s="7"/>
      <c r="I16" s="7"/>
      <c r="J16" s="22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5"/>
    </row>
    <row r="17" spans="1:26" ht="15.75" customHeight="1" x14ac:dyDescent="0.25">
      <c r="A17" s="9" t="s">
        <v>39</v>
      </c>
      <c r="B17" s="23">
        <v>1.1000000000000001</v>
      </c>
      <c r="C17" s="7"/>
      <c r="D17" s="7"/>
      <c r="E17" s="31" t="s">
        <v>40</v>
      </c>
      <c r="F17" s="24">
        <v>0</v>
      </c>
      <c r="G17" s="21" t="s">
        <v>32</v>
      </c>
      <c r="H17" s="7"/>
      <c r="I17" s="7"/>
      <c r="J17" s="22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5"/>
    </row>
    <row r="18" spans="1:26" ht="15.75" customHeight="1" x14ac:dyDescent="0.2">
      <c r="A18" s="26"/>
      <c r="B18" s="7"/>
      <c r="C18" s="7"/>
      <c r="D18" s="7"/>
      <c r="E18" s="7"/>
      <c r="F18" s="7"/>
      <c r="G18" s="7"/>
      <c r="H18" s="7"/>
      <c r="I18" s="7"/>
      <c r="J18" s="22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5"/>
    </row>
    <row r="19" spans="1:26" ht="15.75" customHeight="1" x14ac:dyDescent="0.25">
      <c r="A19" s="76" t="s">
        <v>41</v>
      </c>
      <c r="B19" s="68"/>
      <c r="C19" s="69"/>
      <c r="D19" s="7"/>
      <c r="E19" s="23">
        <f>G9*F13</f>
        <v>0</v>
      </c>
      <c r="F19" s="21" t="s">
        <v>32</v>
      </c>
      <c r="G19" s="7"/>
      <c r="H19" s="7"/>
      <c r="I19" s="7"/>
      <c r="J19" s="22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5"/>
    </row>
    <row r="20" spans="1:26" ht="15.75" customHeight="1" x14ac:dyDescent="0.2">
      <c r="A20" s="26"/>
      <c r="B20" s="7"/>
      <c r="C20" s="7"/>
      <c r="D20" s="7"/>
      <c r="E20" s="7"/>
      <c r="F20" s="7"/>
      <c r="G20" s="7"/>
      <c r="H20" s="7"/>
      <c r="I20" s="7"/>
      <c r="J20" s="22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5"/>
    </row>
    <row r="21" spans="1:26" ht="15.75" customHeight="1" x14ac:dyDescent="0.25">
      <c r="A21" s="76" t="s">
        <v>115</v>
      </c>
      <c r="B21" s="68"/>
      <c r="C21" s="68"/>
      <c r="D21" s="69"/>
      <c r="E21" s="25" t="e">
        <f>SQRT(F13^2+(F13/B16)^2)</f>
        <v>#DIV/0!</v>
      </c>
      <c r="F21" s="21" t="s">
        <v>28</v>
      </c>
      <c r="G21" s="7"/>
      <c r="H21" s="7"/>
      <c r="I21" s="7"/>
      <c r="J21" s="22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5"/>
    </row>
    <row r="22" spans="1:26" ht="15.75" customHeight="1" x14ac:dyDescent="0.2">
      <c r="A22" s="26"/>
      <c r="B22" s="7"/>
      <c r="C22" s="7"/>
      <c r="D22" s="7"/>
      <c r="E22" s="7"/>
      <c r="F22" s="7"/>
      <c r="G22" s="7"/>
      <c r="H22" s="7"/>
      <c r="I22" s="7"/>
      <c r="J22" s="22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5"/>
    </row>
    <row r="23" spans="1:26" ht="15.75" customHeight="1" x14ac:dyDescent="0.25">
      <c r="A23" s="76" t="s">
        <v>116</v>
      </c>
      <c r="B23" s="69"/>
      <c r="C23" s="7"/>
      <c r="D23" s="7"/>
      <c r="E23" s="25" t="e">
        <f>SQRT(F13^2+(F13/B16)^2)*G9</f>
        <v>#DIV/0!</v>
      </c>
      <c r="F23" s="21" t="s">
        <v>32</v>
      </c>
      <c r="G23" s="7"/>
      <c r="H23" s="7"/>
      <c r="I23" s="7"/>
      <c r="J23" s="22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5"/>
    </row>
    <row r="24" spans="1:26" ht="15.75" customHeight="1" x14ac:dyDescent="0.2">
      <c r="A24" s="26"/>
      <c r="B24" s="7"/>
      <c r="C24" s="7"/>
      <c r="D24" s="7"/>
      <c r="E24" s="7"/>
      <c r="F24" s="7"/>
      <c r="G24" s="7"/>
      <c r="H24" s="7"/>
      <c r="I24" s="7"/>
      <c r="J24" s="22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5"/>
    </row>
    <row r="25" spans="1:26" ht="15.75" customHeight="1" x14ac:dyDescent="0.25">
      <c r="A25" s="76" t="s">
        <v>117</v>
      </c>
      <c r="B25" s="69"/>
      <c r="C25" s="7"/>
      <c r="D25" s="7"/>
      <c r="E25" s="25">
        <f>F13*0.7</f>
        <v>0</v>
      </c>
      <c r="F25" s="21" t="s">
        <v>28</v>
      </c>
      <c r="G25" s="7"/>
      <c r="H25" s="7"/>
      <c r="I25" s="7"/>
      <c r="J25" s="22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5"/>
    </row>
    <row r="26" spans="1:26" ht="15.75" customHeight="1" x14ac:dyDescent="0.2">
      <c r="A26" s="26"/>
      <c r="B26" s="7"/>
      <c r="C26" s="7"/>
      <c r="D26" s="7"/>
      <c r="E26" s="7"/>
      <c r="F26" s="7"/>
      <c r="G26" s="7"/>
      <c r="H26" s="7"/>
      <c r="I26" s="7"/>
      <c r="J26" s="22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5"/>
    </row>
    <row r="27" spans="1:26" ht="15.75" customHeight="1" x14ac:dyDescent="0.25">
      <c r="A27" s="76" t="s">
        <v>44</v>
      </c>
      <c r="B27" s="68"/>
      <c r="C27" s="69"/>
      <c r="D27" s="7"/>
      <c r="E27" s="25">
        <f>(F16+F17)*SIN((B15/2)*PI()*9/1800)</f>
        <v>0</v>
      </c>
      <c r="F27" s="21" t="s">
        <v>32</v>
      </c>
      <c r="G27" s="7"/>
      <c r="H27" s="7"/>
      <c r="I27" s="7"/>
      <c r="J27" s="22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5"/>
    </row>
    <row r="28" spans="1:26" ht="15.75" customHeight="1" x14ac:dyDescent="0.2">
      <c r="A28" s="26"/>
      <c r="B28" s="7"/>
      <c r="C28" s="7"/>
      <c r="D28" s="7"/>
      <c r="E28" s="7"/>
      <c r="F28" s="7"/>
      <c r="G28" s="7"/>
      <c r="H28" s="7"/>
      <c r="I28" s="7"/>
      <c r="J28" s="22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5"/>
    </row>
    <row r="29" spans="1:26" ht="15.75" customHeight="1" x14ac:dyDescent="0.25">
      <c r="A29" s="76" t="s">
        <v>42</v>
      </c>
      <c r="B29" s="69"/>
      <c r="C29" s="77" t="s">
        <v>118</v>
      </c>
      <c r="D29" s="69"/>
      <c r="E29" s="25">
        <f>A9*F13*B14/(2*1000^2)</f>
        <v>0</v>
      </c>
      <c r="F29" s="21" t="s">
        <v>32</v>
      </c>
      <c r="G29" s="7"/>
      <c r="H29" s="7"/>
      <c r="I29" s="7"/>
      <c r="J29" s="22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5"/>
    </row>
    <row r="30" spans="1:26" ht="15.75" customHeight="1" x14ac:dyDescent="0.2">
      <c r="A30" s="26"/>
      <c r="B30" s="7"/>
      <c r="C30" s="7"/>
      <c r="D30" s="7"/>
      <c r="E30" s="7"/>
      <c r="F30" s="7"/>
      <c r="G30" s="7"/>
      <c r="H30" s="7"/>
      <c r="I30" s="7"/>
      <c r="J30" s="22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5"/>
    </row>
    <row r="31" spans="1:26" ht="15.75" customHeight="1" x14ac:dyDescent="0.25">
      <c r="A31" s="76" t="s">
        <v>119</v>
      </c>
      <c r="B31" s="68"/>
      <c r="C31" s="68"/>
      <c r="D31" s="69"/>
      <c r="E31" s="25">
        <f>E27+F14+E29</f>
        <v>0</v>
      </c>
      <c r="F31" s="21" t="s">
        <v>32</v>
      </c>
      <c r="G31" s="7"/>
      <c r="H31" s="7"/>
      <c r="I31" s="7"/>
      <c r="J31" s="22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5"/>
    </row>
    <row r="32" spans="1:26" ht="15.75" customHeight="1" x14ac:dyDescent="0.2">
      <c r="A32" s="26"/>
      <c r="B32" s="7"/>
      <c r="C32" s="7"/>
      <c r="D32" s="7"/>
      <c r="E32" s="7"/>
      <c r="F32" s="7"/>
      <c r="G32" s="7"/>
      <c r="H32" s="7"/>
      <c r="I32" s="7"/>
      <c r="J32" s="22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5"/>
    </row>
    <row r="33" spans="1:26" ht="15.75" customHeight="1" x14ac:dyDescent="0.25">
      <c r="A33" s="76" t="s">
        <v>120</v>
      </c>
      <c r="B33" s="68"/>
      <c r="C33" s="69"/>
      <c r="D33" s="7"/>
      <c r="E33" s="25" t="e">
        <f>E31*B16+E23</f>
        <v>#DIV/0!</v>
      </c>
      <c r="F33" s="21" t="s">
        <v>32</v>
      </c>
      <c r="G33" s="7"/>
      <c r="H33" s="7"/>
      <c r="I33" s="7"/>
      <c r="J33" s="22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5"/>
    </row>
    <row r="34" spans="1:26" ht="15.75" customHeight="1" x14ac:dyDescent="0.2">
      <c r="A34" s="26"/>
      <c r="B34" s="7"/>
      <c r="C34" s="7"/>
      <c r="D34" s="7"/>
      <c r="E34" s="7"/>
      <c r="F34" s="7"/>
      <c r="G34" s="7"/>
      <c r="H34" s="7"/>
      <c r="I34" s="7"/>
      <c r="J34" s="22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5"/>
    </row>
    <row r="35" spans="1:26" ht="15.75" customHeight="1" x14ac:dyDescent="0.25">
      <c r="A35" s="76" t="s">
        <v>121</v>
      </c>
      <c r="B35" s="68"/>
      <c r="C35" s="69"/>
      <c r="D35" s="7"/>
      <c r="E35" s="25" t="e">
        <f>F15-E33+E19</f>
        <v>#DIV/0!</v>
      </c>
      <c r="F35" s="21" t="s">
        <v>32</v>
      </c>
      <c r="G35" s="7"/>
      <c r="H35" s="7"/>
      <c r="I35" s="7"/>
      <c r="J35" s="22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5"/>
    </row>
    <row r="36" spans="1:26" ht="15.75" customHeight="1" x14ac:dyDescent="0.2">
      <c r="A36" s="26"/>
      <c r="B36" s="7"/>
      <c r="C36" s="7"/>
      <c r="D36" s="7"/>
      <c r="E36" s="7"/>
      <c r="F36" s="7"/>
      <c r="G36" s="7"/>
      <c r="H36" s="7"/>
      <c r="I36" s="7"/>
      <c r="J36" s="22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5"/>
    </row>
    <row r="37" spans="1:26" ht="15.75" customHeight="1" x14ac:dyDescent="0.25">
      <c r="A37" s="76" t="s">
        <v>122</v>
      </c>
      <c r="B37" s="68"/>
      <c r="C37" s="69"/>
      <c r="D37" s="7"/>
      <c r="E37" s="25" t="e">
        <f>SQRT(E31^2+E33^2)</f>
        <v>#DIV/0!</v>
      </c>
      <c r="F37" s="21" t="s">
        <v>32</v>
      </c>
      <c r="G37" s="7"/>
      <c r="H37" s="7"/>
      <c r="I37" s="7"/>
      <c r="J37" s="22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5"/>
    </row>
    <row r="38" spans="1:26" ht="15.75" customHeight="1" x14ac:dyDescent="0.2">
      <c r="A38" s="26"/>
      <c r="B38" s="7"/>
      <c r="C38" s="7"/>
      <c r="D38" s="7"/>
      <c r="E38" s="7"/>
      <c r="F38" s="7"/>
      <c r="G38" s="7"/>
      <c r="H38" s="7"/>
      <c r="I38" s="7"/>
      <c r="J38" s="22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5"/>
    </row>
    <row r="39" spans="1:26" ht="15.75" customHeight="1" x14ac:dyDescent="0.2">
      <c r="A39" s="26"/>
      <c r="B39" s="7"/>
      <c r="C39" s="7"/>
      <c r="D39" s="7"/>
      <c r="E39" s="7"/>
      <c r="F39" s="7"/>
      <c r="G39" s="7"/>
      <c r="H39" s="7"/>
      <c r="I39" s="7"/>
      <c r="J39" s="22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5"/>
    </row>
    <row r="40" spans="1:26" ht="15.75" customHeight="1" x14ac:dyDescent="0.2">
      <c r="A40" s="26"/>
      <c r="B40" s="7"/>
      <c r="C40" s="7"/>
      <c r="D40" s="7"/>
      <c r="E40" s="7"/>
      <c r="F40" s="7"/>
      <c r="G40" s="7"/>
      <c r="H40" s="7"/>
      <c r="I40" s="7"/>
      <c r="J40" s="22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5"/>
    </row>
    <row r="41" spans="1:26" ht="15.75" customHeight="1" x14ac:dyDescent="0.2">
      <c r="A41" s="26"/>
      <c r="B41" s="7"/>
      <c r="C41" s="7"/>
      <c r="D41" s="7"/>
      <c r="E41" s="7"/>
      <c r="F41" s="7"/>
      <c r="G41" s="7"/>
      <c r="H41" s="7"/>
      <c r="I41" s="7"/>
      <c r="J41" s="22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5"/>
    </row>
    <row r="42" spans="1:26" ht="15.75" customHeight="1" x14ac:dyDescent="0.25">
      <c r="A42" s="76" t="s">
        <v>52</v>
      </c>
      <c r="B42" s="69"/>
      <c r="C42" s="7"/>
      <c r="D42" s="7"/>
      <c r="E42" s="7"/>
      <c r="F42" s="7"/>
      <c r="G42" s="7"/>
      <c r="H42" s="7"/>
      <c r="I42" s="7"/>
      <c r="J42" s="22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5"/>
    </row>
    <row r="43" spans="1:26" ht="15.75" customHeight="1" x14ac:dyDescent="0.25">
      <c r="A43" s="76" t="s">
        <v>53</v>
      </c>
      <c r="B43" s="68"/>
      <c r="C43" s="68"/>
      <c r="D43" s="68"/>
      <c r="E43" s="69"/>
      <c r="F43" s="7"/>
      <c r="G43" s="7"/>
      <c r="H43" s="7"/>
      <c r="I43" s="7"/>
      <c r="J43" s="22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5"/>
    </row>
    <row r="44" spans="1:26" ht="15.75" customHeight="1" x14ac:dyDescent="0.2">
      <c r="A44" s="26"/>
      <c r="B44" s="7"/>
      <c r="C44" s="7"/>
      <c r="D44" s="7"/>
      <c r="E44" s="7"/>
      <c r="F44" s="7"/>
      <c r="G44" s="7"/>
      <c r="H44" s="7"/>
      <c r="I44" s="7"/>
      <c r="J44" s="22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5"/>
    </row>
    <row r="45" spans="1:26" ht="15.75" customHeight="1" x14ac:dyDescent="0.2">
      <c r="A45" s="26"/>
      <c r="B45" s="7"/>
      <c r="C45" s="7"/>
      <c r="D45" s="7"/>
      <c r="E45" s="7"/>
      <c r="F45" s="7"/>
      <c r="G45" s="7"/>
      <c r="H45" s="7"/>
      <c r="I45" s="7"/>
      <c r="J45" s="22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5"/>
    </row>
    <row r="46" spans="1:26" ht="15.75" customHeight="1" x14ac:dyDescent="0.25">
      <c r="A46" s="76" t="s">
        <v>54</v>
      </c>
      <c r="B46" s="69"/>
      <c r="C46" s="7"/>
      <c r="D46" s="36" t="s">
        <v>55</v>
      </c>
      <c r="E46" s="75" t="s">
        <v>56</v>
      </c>
      <c r="F46" s="69"/>
      <c r="G46" s="7"/>
      <c r="H46" s="7"/>
      <c r="I46" s="7"/>
      <c r="J46" s="22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5"/>
    </row>
    <row r="47" spans="1:26" ht="15.75" customHeight="1" x14ac:dyDescent="0.25">
      <c r="A47" s="76" t="s">
        <v>57</v>
      </c>
      <c r="B47" s="69"/>
      <c r="C47" s="7"/>
      <c r="D47" s="23">
        <f>B9</f>
        <v>8306.66</v>
      </c>
      <c r="E47" s="21" t="s">
        <v>58</v>
      </c>
      <c r="F47" s="7"/>
      <c r="G47" s="7"/>
      <c r="H47" s="7"/>
      <c r="I47" s="7"/>
      <c r="J47" s="22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5"/>
    </row>
    <row r="48" spans="1:26" ht="15.75" customHeight="1" x14ac:dyDescent="0.25">
      <c r="A48" s="9" t="s">
        <v>59</v>
      </c>
      <c r="B48" s="7"/>
      <c r="C48" s="7"/>
      <c r="D48" s="23">
        <f>E9</f>
        <v>70000</v>
      </c>
      <c r="E48" s="21" t="s">
        <v>60</v>
      </c>
      <c r="F48" s="7"/>
      <c r="G48" s="7"/>
      <c r="H48" s="7"/>
      <c r="I48" s="7"/>
      <c r="J48" s="22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5"/>
    </row>
    <row r="49" spans="1:26" ht="15.75" customHeight="1" x14ac:dyDescent="0.25">
      <c r="A49" s="76" t="s">
        <v>61</v>
      </c>
      <c r="B49" s="69"/>
      <c r="C49" s="7"/>
      <c r="D49" s="23">
        <f>C9</f>
        <v>153190000</v>
      </c>
      <c r="E49" s="21" t="s">
        <v>62</v>
      </c>
      <c r="F49" s="7"/>
      <c r="G49" s="7"/>
      <c r="H49" s="7"/>
      <c r="I49" s="7"/>
      <c r="J49" s="22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5"/>
    </row>
    <row r="50" spans="1:26" ht="15.75" customHeight="1" x14ac:dyDescent="0.25">
      <c r="A50" s="76" t="s">
        <v>63</v>
      </c>
      <c r="B50" s="69"/>
      <c r="C50" s="7"/>
      <c r="D50" s="23">
        <f>B17</f>
        <v>1.1000000000000001</v>
      </c>
      <c r="E50" s="75" t="s">
        <v>64</v>
      </c>
      <c r="F50" s="69"/>
      <c r="G50" s="7"/>
      <c r="H50" s="7"/>
      <c r="I50" s="7"/>
      <c r="J50" s="22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5"/>
    </row>
    <row r="51" spans="1:26" ht="15.75" customHeight="1" x14ac:dyDescent="0.25">
      <c r="A51" s="76" t="s">
        <v>65</v>
      </c>
      <c r="B51" s="69"/>
      <c r="C51" s="7"/>
      <c r="D51" s="23">
        <f>F9</f>
        <v>260</v>
      </c>
      <c r="E51" s="21" t="s">
        <v>60</v>
      </c>
      <c r="F51" s="7"/>
      <c r="G51" s="7"/>
      <c r="H51" s="7"/>
      <c r="I51" s="7"/>
      <c r="J51" s="22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5"/>
    </row>
    <row r="52" spans="1:26" ht="15.75" customHeight="1" x14ac:dyDescent="0.25">
      <c r="A52" s="76" t="s">
        <v>66</v>
      </c>
      <c r="B52" s="69"/>
      <c r="C52" s="7"/>
      <c r="D52" s="25">
        <f>SQRT(C9/B9)</f>
        <v>135.80069442016443</v>
      </c>
      <c r="E52" s="21" t="s">
        <v>28</v>
      </c>
      <c r="F52" s="7"/>
      <c r="G52" s="7"/>
      <c r="H52" s="7"/>
      <c r="I52" s="7"/>
      <c r="J52" s="22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5"/>
    </row>
    <row r="53" spans="1:26" ht="15.75" customHeight="1" x14ac:dyDescent="0.25">
      <c r="A53" s="76" t="s">
        <v>67</v>
      </c>
      <c r="B53" s="69"/>
      <c r="C53" s="7"/>
      <c r="D53" s="25">
        <f>0.7*F13</f>
        <v>0</v>
      </c>
      <c r="E53" s="21" t="s">
        <v>28</v>
      </c>
      <c r="F53" s="7"/>
      <c r="G53" s="7"/>
      <c r="H53" s="7"/>
      <c r="I53" s="7"/>
      <c r="J53" s="22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5"/>
    </row>
    <row r="54" spans="1:26" ht="15.75" customHeight="1" x14ac:dyDescent="0.25">
      <c r="A54" s="76" t="s">
        <v>68</v>
      </c>
      <c r="B54" s="69"/>
      <c r="C54" s="84"/>
      <c r="D54" s="25" t="e">
        <f>PI()^2*E9*C9/E25^2</f>
        <v>#DIV/0!</v>
      </c>
      <c r="E54" s="21" t="s">
        <v>32</v>
      </c>
      <c r="F54" s="7"/>
      <c r="G54" s="7"/>
      <c r="H54" s="7"/>
      <c r="I54" s="7"/>
      <c r="J54" s="22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5"/>
    </row>
    <row r="55" spans="1:26" ht="15.75" customHeight="1" x14ac:dyDescent="0.2">
      <c r="A55" s="26"/>
      <c r="B55" s="7"/>
      <c r="C55" s="85"/>
      <c r="D55" s="7"/>
      <c r="E55" s="7"/>
      <c r="F55" s="7"/>
      <c r="G55" s="7"/>
      <c r="H55" s="7"/>
      <c r="I55" s="7"/>
      <c r="J55" s="22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5"/>
    </row>
    <row r="56" spans="1:26" ht="15.75" customHeight="1" x14ac:dyDescent="0.25">
      <c r="A56" s="76" t="s">
        <v>69</v>
      </c>
      <c r="B56" s="69"/>
      <c r="C56" s="85"/>
      <c r="D56" s="7"/>
      <c r="E56" s="37" t="e">
        <f>SQRT(B9*F9/D54)</f>
        <v>#DIV/0!</v>
      </c>
      <c r="F56" s="7"/>
      <c r="G56" s="7"/>
      <c r="H56" s="7"/>
      <c r="I56" s="7"/>
      <c r="J56" s="22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5"/>
    </row>
    <row r="57" spans="1:26" ht="15.75" customHeight="1" x14ac:dyDescent="0.2">
      <c r="A57" s="26"/>
      <c r="B57" s="7"/>
      <c r="C57" s="86"/>
      <c r="D57" s="7"/>
      <c r="E57" s="7"/>
      <c r="F57" s="7"/>
      <c r="G57" s="7"/>
      <c r="H57" s="7"/>
      <c r="I57" s="7"/>
      <c r="J57" s="22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5"/>
    </row>
    <row r="58" spans="1:26" ht="15.75" customHeight="1" x14ac:dyDescent="0.25">
      <c r="A58" s="9" t="s">
        <v>70</v>
      </c>
      <c r="B58" s="7"/>
      <c r="C58" s="7"/>
      <c r="D58" s="7"/>
      <c r="E58" s="7"/>
      <c r="F58" s="7"/>
      <c r="G58" s="7"/>
      <c r="H58" s="7"/>
      <c r="I58" s="7"/>
      <c r="J58" s="22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5"/>
    </row>
    <row r="59" spans="1:26" ht="15.75" customHeight="1" x14ac:dyDescent="0.25">
      <c r="A59" s="9" t="s">
        <v>71</v>
      </c>
      <c r="B59" s="23">
        <v>0.2</v>
      </c>
      <c r="C59" s="7"/>
      <c r="D59" s="7"/>
      <c r="E59" s="7"/>
      <c r="F59" s="7"/>
      <c r="G59" s="7"/>
      <c r="H59" s="7"/>
      <c r="I59" s="7"/>
      <c r="J59" s="22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5"/>
    </row>
    <row r="60" spans="1:26" ht="15.75" customHeight="1" x14ac:dyDescent="0.25">
      <c r="A60" s="9" t="s">
        <v>72</v>
      </c>
      <c r="B60" s="23">
        <v>0.1</v>
      </c>
      <c r="C60" s="7"/>
      <c r="D60" s="7"/>
      <c r="E60" s="7"/>
      <c r="F60" s="7"/>
      <c r="G60" s="7"/>
      <c r="H60" s="7"/>
      <c r="I60" s="7"/>
      <c r="J60" s="22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5"/>
    </row>
    <row r="61" spans="1:26" ht="15.75" customHeight="1" x14ac:dyDescent="0.25">
      <c r="A61" s="26"/>
      <c r="B61" s="80"/>
      <c r="C61" s="81"/>
      <c r="D61" s="71"/>
      <c r="E61" s="37" t="e">
        <f>0.5*(1+$B$59*(E56-$B$60)+E56^2)</f>
        <v>#DIV/0!</v>
      </c>
      <c r="F61" s="7"/>
      <c r="G61" s="7"/>
      <c r="H61" s="7"/>
      <c r="I61" s="7"/>
      <c r="J61" s="22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5"/>
    </row>
    <row r="62" spans="1:26" ht="15.75" customHeight="1" x14ac:dyDescent="0.2">
      <c r="A62" s="26"/>
      <c r="B62" s="65"/>
      <c r="C62" s="82"/>
      <c r="D62" s="73"/>
      <c r="E62" s="7"/>
      <c r="F62" s="7"/>
      <c r="G62" s="7"/>
      <c r="H62" s="7"/>
      <c r="I62" s="7"/>
      <c r="J62" s="22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5"/>
    </row>
    <row r="63" spans="1:26" ht="15.75" customHeight="1" x14ac:dyDescent="0.2">
      <c r="A63" s="26"/>
      <c r="B63" s="7"/>
      <c r="C63" s="7"/>
      <c r="D63" s="7"/>
      <c r="E63" s="7"/>
      <c r="F63" s="7"/>
      <c r="G63" s="7"/>
      <c r="H63" s="7"/>
      <c r="I63" s="7"/>
      <c r="J63" s="22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5"/>
    </row>
    <row r="64" spans="1:26" ht="15.75" customHeight="1" x14ac:dyDescent="0.25">
      <c r="A64" s="9" t="s">
        <v>73</v>
      </c>
      <c r="B64" s="7"/>
      <c r="C64" s="7"/>
      <c r="D64" s="7"/>
      <c r="E64" s="37" t="e">
        <f>1/(E61+SQRT(E61^2-E56^2))</f>
        <v>#DIV/0!</v>
      </c>
      <c r="F64" s="7"/>
      <c r="G64" s="7"/>
      <c r="H64" s="7"/>
      <c r="I64" s="7"/>
      <c r="J64" s="22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5"/>
    </row>
    <row r="65" spans="1:26" ht="15.75" customHeight="1" x14ac:dyDescent="0.2">
      <c r="A65" s="26"/>
      <c r="B65" s="7"/>
      <c r="C65" s="7"/>
      <c r="D65" s="7"/>
      <c r="E65" s="7"/>
      <c r="F65" s="7"/>
      <c r="G65" s="7"/>
      <c r="H65" s="7"/>
      <c r="I65" s="7"/>
      <c r="J65" s="22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5"/>
    </row>
    <row r="66" spans="1:26" ht="15.75" customHeight="1" x14ac:dyDescent="0.2">
      <c r="A66" s="26"/>
      <c r="B66" s="7"/>
      <c r="C66" s="7"/>
      <c r="D66" s="7"/>
      <c r="E66" s="7"/>
      <c r="F66" s="7"/>
      <c r="G66" s="7"/>
      <c r="H66" s="7"/>
      <c r="I66" s="7"/>
      <c r="J66" s="22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5"/>
    </row>
    <row r="67" spans="1:26" ht="15.75" customHeight="1" x14ac:dyDescent="0.25">
      <c r="A67" s="9" t="s">
        <v>74</v>
      </c>
      <c r="B67" s="7"/>
      <c r="C67" s="7"/>
      <c r="D67" s="7"/>
      <c r="E67" s="25" t="e">
        <f>E64*$B$9*$F$9/$B$17</f>
        <v>#DIV/0!</v>
      </c>
      <c r="F67" s="21" t="s">
        <v>32</v>
      </c>
      <c r="G67" s="7"/>
      <c r="H67" s="7"/>
      <c r="I67" s="7"/>
      <c r="J67" s="22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5"/>
    </row>
    <row r="68" spans="1:26" ht="15.75" customHeight="1" x14ac:dyDescent="0.2">
      <c r="A68" s="26"/>
      <c r="B68" s="7"/>
      <c r="C68" s="7"/>
      <c r="D68" s="7"/>
      <c r="E68" s="7"/>
      <c r="F68" s="7"/>
      <c r="G68" s="7"/>
      <c r="H68" s="7"/>
      <c r="I68" s="7"/>
      <c r="J68" s="22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5"/>
    </row>
    <row r="69" spans="1:26" ht="15.75" customHeight="1" x14ac:dyDescent="0.25">
      <c r="A69" s="9" t="s">
        <v>75</v>
      </c>
      <c r="B69" s="75" t="s">
        <v>76</v>
      </c>
      <c r="C69" s="68"/>
      <c r="D69" s="69"/>
      <c r="E69" s="7"/>
      <c r="F69" s="7"/>
      <c r="G69" s="7"/>
      <c r="H69" s="7"/>
      <c r="I69" s="7"/>
      <c r="J69" s="22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5"/>
    </row>
    <row r="70" spans="1:26" ht="15.75" customHeight="1" x14ac:dyDescent="0.25">
      <c r="A70" s="9" t="s">
        <v>77</v>
      </c>
      <c r="B70" s="75" t="s">
        <v>78</v>
      </c>
      <c r="C70" s="68"/>
      <c r="D70" s="68"/>
      <c r="E70" s="69"/>
      <c r="F70" s="7"/>
      <c r="G70" s="7"/>
      <c r="H70" s="7"/>
      <c r="I70" s="7"/>
      <c r="J70" s="22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5"/>
    </row>
    <row r="71" spans="1:26" ht="15.75" customHeight="1" x14ac:dyDescent="0.2">
      <c r="A71" s="26"/>
      <c r="B71" s="7"/>
      <c r="C71" s="7"/>
      <c r="D71" s="7"/>
      <c r="E71" s="7"/>
      <c r="F71" s="7"/>
      <c r="G71" s="7"/>
      <c r="H71" s="7"/>
      <c r="I71" s="7"/>
      <c r="J71" s="22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5"/>
    </row>
    <row r="72" spans="1:26" ht="15.75" customHeight="1" x14ac:dyDescent="0.25">
      <c r="A72" s="79" t="s">
        <v>79</v>
      </c>
      <c r="B72" s="68"/>
      <c r="C72" s="69"/>
      <c r="D72" s="38" t="s">
        <v>80</v>
      </c>
      <c r="E72" s="48"/>
      <c r="F72" s="39" t="e">
        <f>E37/E67</f>
        <v>#DIV/0!</v>
      </c>
      <c r="G72" s="38" t="e">
        <f>IF(F72&lt;=1,"OK","Not OK")</f>
        <v>#DIV/0!</v>
      </c>
      <c r="H72" s="7"/>
      <c r="I72" s="7"/>
      <c r="J72" s="22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5"/>
    </row>
    <row r="73" spans="1:26" ht="15.75" customHeight="1" x14ac:dyDescent="0.2">
      <c r="A73" s="26"/>
      <c r="B73" s="7"/>
      <c r="C73" s="7"/>
      <c r="D73" s="7"/>
      <c r="E73" s="7"/>
      <c r="F73" s="7"/>
      <c r="G73" s="7"/>
      <c r="H73" s="7"/>
      <c r="I73" s="7"/>
      <c r="J73" s="22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5"/>
    </row>
    <row r="74" spans="1:26" ht="15.75" customHeight="1" x14ac:dyDescent="0.2">
      <c r="A74" s="26"/>
      <c r="B74" s="7"/>
      <c r="C74" s="7"/>
      <c r="D74" s="7"/>
      <c r="E74" s="7"/>
      <c r="F74" s="7"/>
      <c r="G74" s="7"/>
      <c r="H74" s="7"/>
      <c r="I74" s="7"/>
      <c r="J74" s="22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5"/>
    </row>
    <row r="75" spans="1:26" ht="15.75" customHeight="1" x14ac:dyDescent="0.2">
      <c r="A75" s="40"/>
      <c r="B75" s="17"/>
      <c r="C75" s="17"/>
      <c r="D75" s="17"/>
      <c r="E75" s="17"/>
      <c r="F75" s="17"/>
      <c r="G75" s="17"/>
      <c r="H75" s="17"/>
      <c r="I75" s="17"/>
      <c r="J75" s="20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5"/>
    </row>
    <row r="76" spans="1:26" ht="15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5"/>
    </row>
    <row r="77" spans="1:26" ht="15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5"/>
    </row>
    <row r="78" spans="1:26" ht="15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5"/>
    </row>
    <row r="79" spans="1:26" ht="15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5"/>
    </row>
    <row r="80" spans="1:26" ht="15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5"/>
    </row>
    <row r="81" spans="1:26" ht="15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5"/>
    </row>
    <row r="82" spans="1:26" ht="15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5"/>
    </row>
    <row r="83" spans="1:26" ht="15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5"/>
    </row>
    <row r="84" spans="1:26" ht="15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5"/>
    </row>
    <row r="85" spans="1:26" ht="15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5"/>
    </row>
    <row r="86" spans="1:26" ht="15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5"/>
    </row>
    <row r="87" spans="1:26" ht="15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5"/>
    </row>
    <row r="88" spans="1:26" ht="15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5"/>
    </row>
    <row r="89" spans="1:26" ht="15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5"/>
    </row>
    <row r="90" spans="1:26" ht="15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5"/>
    </row>
    <row r="91" spans="1:26" ht="15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5"/>
    </row>
    <row r="92" spans="1:26" ht="15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5"/>
    </row>
    <row r="93" spans="1:26" ht="15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5"/>
    </row>
    <row r="94" spans="1:26" ht="15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5"/>
    </row>
    <row r="95" spans="1:26" ht="15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5"/>
    </row>
    <row r="96" spans="1:26" ht="15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5"/>
    </row>
    <row r="97" spans="1:26" ht="15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5"/>
    </row>
    <row r="98" spans="1:26" ht="15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5"/>
    </row>
    <row r="99" spans="1:26" ht="15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5"/>
    </row>
    <row r="100" spans="1:26" ht="15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5"/>
    </row>
    <row r="101" spans="1:26" ht="15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5"/>
    </row>
    <row r="102" spans="1:26" ht="15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5"/>
    </row>
    <row r="103" spans="1:26" ht="15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5"/>
    </row>
    <row r="104" spans="1:26" ht="15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5"/>
    </row>
    <row r="105" spans="1:26" ht="15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5"/>
    </row>
    <row r="106" spans="1:26" ht="15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5"/>
    </row>
    <row r="107" spans="1:26" ht="15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5"/>
    </row>
    <row r="108" spans="1:26" ht="15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5"/>
    </row>
    <row r="109" spans="1:26" ht="15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5"/>
    </row>
    <row r="110" spans="1:26" ht="15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5"/>
    </row>
    <row r="111" spans="1:26" ht="15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5"/>
    </row>
    <row r="112" spans="1:26" ht="15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5"/>
    </row>
    <row r="113" spans="1:26" ht="15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5"/>
    </row>
    <row r="114" spans="1:26" ht="15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5"/>
    </row>
    <row r="115" spans="1:26" ht="15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5"/>
    </row>
    <row r="116" spans="1:26" ht="15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5"/>
    </row>
    <row r="117" spans="1:26" ht="15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5"/>
    </row>
    <row r="118" spans="1:26" ht="15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5"/>
    </row>
    <row r="119" spans="1:26" ht="15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5"/>
    </row>
    <row r="120" spans="1:26" ht="15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5"/>
    </row>
    <row r="121" spans="1:26" ht="15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5"/>
    </row>
    <row r="122" spans="1:26" ht="15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5"/>
    </row>
    <row r="123" spans="1:26" ht="15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5"/>
    </row>
    <row r="124" spans="1:26" ht="15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5"/>
    </row>
    <row r="125" spans="1:26" ht="15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5"/>
    </row>
    <row r="126" spans="1:26" ht="15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5"/>
    </row>
    <row r="127" spans="1:26" ht="15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5"/>
    </row>
    <row r="128" spans="1:26" ht="15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5"/>
    </row>
    <row r="129" spans="1:26" ht="15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5"/>
    </row>
    <row r="130" spans="1:26" ht="15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5"/>
    </row>
    <row r="131" spans="1:26" ht="15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5"/>
    </row>
    <row r="132" spans="1:26" ht="15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5"/>
    </row>
    <row r="133" spans="1:26" ht="15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5"/>
    </row>
    <row r="134" spans="1:26" ht="15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5"/>
    </row>
    <row r="135" spans="1:26" ht="15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5"/>
    </row>
    <row r="136" spans="1:26" ht="15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5"/>
    </row>
    <row r="137" spans="1:26" ht="15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5"/>
    </row>
    <row r="138" spans="1:26" ht="15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5"/>
    </row>
    <row r="139" spans="1:26" ht="15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5"/>
    </row>
    <row r="140" spans="1:26" ht="15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5"/>
    </row>
    <row r="141" spans="1:26" ht="15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5"/>
    </row>
    <row r="142" spans="1:26" ht="15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5"/>
    </row>
    <row r="143" spans="1:26" ht="15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5"/>
    </row>
    <row r="144" spans="1:26" ht="15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5"/>
    </row>
    <row r="145" spans="1:26" ht="15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5"/>
    </row>
    <row r="146" spans="1:26" ht="15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5"/>
    </row>
    <row r="147" spans="1:26" ht="15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5"/>
    </row>
    <row r="148" spans="1:26" ht="15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5"/>
    </row>
    <row r="149" spans="1:26" ht="15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5"/>
    </row>
    <row r="150" spans="1:26" ht="15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5"/>
    </row>
    <row r="151" spans="1:26" ht="15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5"/>
    </row>
    <row r="152" spans="1:26" ht="15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5"/>
    </row>
    <row r="153" spans="1:26" ht="15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5"/>
    </row>
    <row r="154" spans="1:26" ht="15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5"/>
    </row>
    <row r="155" spans="1:26" ht="15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5"/>
    </row>
    <row r="156" spans="1:26" ht="15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5"/>
    </row>
    <row r="157" spans="1:26" ht="15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5"/>
    </row>
    <row r="158" spans="1:26" ht="15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5"/>
    </row>
    <row r="159" spans="1:26" ht="15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5"/>
    </row>
    <row r="160" spans="1:26" ht="15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5"/>
    </row>
    <row r="161" spans="1:26" ht="15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5"/>
    </row>
    <row r="162" spans="1:26" ht="15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5"/>
    </row>
    <row r="163" spans="1:26" ht="15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5"/>
    </row>
    <row r="164" spans="1:26" ht="15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5"/>
    </row>
    <row r="165" spans="1:26" ht="15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5"/>
    </row>
    <row r="166" spans="1:26" ht="15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5"/>
    </row>
    <row r="167" spans="1:26" ht="15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5"/>
    </row>
    <row r="168" spans="1:26" ht="15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5"/>
    </row>
    <row r="169" spans="1:26" ht="15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5"/>
    </row>
    <row r="170" spans="1:26" ht="15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5"/>
    </row>
    <row r="171" spans="1:26" ht="15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5"/>
    </row>
    <row r="172" spans="1:26" ht="15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5"/>
    </row>
    <row r="173" spans="1:26" ht="15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5"/>
    </row>
    <row r="174" spans="1:26" ht="15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5"/>
    </row>
    <row r="175" spans="1:26" ht="15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5"/>
    </row>
    <row r="176" spans="1:26" ht="15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5"/>
    </row>
    <row r="177" spans="1:26" ht="15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5"/>
    </row>
    <row r="178" spans="1:26" ht="15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5"/>
    </row>
    <row r="179" spans="1:26" ht="15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5"/>
    </row>
    <row r="180" spans="1:26" ht="15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5"/>
    </row>
    <row r="181" spans="1:26" ht="15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5"/>
    </row>
    <row r="182" spans="1:26" ht="15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5"/>
    </row>
    <row r="183" spans="1:26" ht="15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5"/>
    </row>
    <row r="184" spans="1:26" ht="15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5"/>
    </row>
    <row r="185" spans="1:26" ht="15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5"/>
    </row>
    <row r="186" spans="1:26" ht="15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5"/>
    </row>
    <row r="187" spans="1:26" ht="15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5"/>
    </row>
    <row r="188" spans="1:26" ht="15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5"/>
    </row>
    <row r="189" spans="1:26" ht="15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5"/>
    </row>
    <row r="190" spans="1:26" ht="15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5"/>
    </row>
    <row r="191" spans="1:26" ht="15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5"/>
    </row>
    <row r="192" spans="1:26" ht="15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5"/>
    </row>
    <row r="193" spans="1:26" ht="15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5"/>
    </row>
    <row r="194" spans="1:26" ht="15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5"/>
    </row>
    <row r="195" spans="1:26" ht="15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5"/>
    </row>
    <row r="196" spans="1:26" ht="15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5"/>
    </row>
    <row r="197" spans="1:26" ht="15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5"/>
    </row>
    <row r="198" spans="1:26" ht="15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5"/>
    </row>
    <row r="199" spans="1:26" ht="15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5"/>
    </row>
    <row r="200" spans="1:26" ht="15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5"/>
    </row>
    <row r="201" spans="1:26" ht="15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5"/>
    </row>
    <row r="202" spans="1:26" ht="15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5"/>
    </row>
    <row r="203" spans="1:26" ht="15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5"/>
    </row>
    <row r="204" spans="1:26" ht="15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5"/>
    </row>
    <row r="205" spans="1:26" ht="15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5"/>
    </row>
    <row r="206" spans="1:26" ht="15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5"/>
    </row>
    <row r="207" spans="1:26" ht="15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5"/>
    </row>
    <row r="208" spans="1:26" ht="15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5"/>
    </row>
    <row r="209" spans="1:26" ht="15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5"/>
    </row>
    <row r="210" spans="1:26" ht="15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5"/>
    </row>
    <row r="211" spans="1:26" ht="15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5"/>
    </row>
    <row r="212" spans="1:26" ht="15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5"/>
    </row>
    <row r="213" spans="1:26" ht="15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5"/>
    </row>
    <row r="214" spans="1:26" ht="15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5"/>
    </row>
    <row r="215" spans="1:26" ht="15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5"/>
    </row>
    <row r="216" spans="1:26" ht="15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5"/>
    </row>
    <row r="217" spans="1:26" ht="15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5"/>
    </row>
    <row r="218" spans="1:26" ht="15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5"/>
    </row>
    <row r="219" spans="1:26" ht="15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5"/>
    </row>
    <row r="220" spans="1:26" ht="15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5"/>
    </row>
    <row r="221" spans="1:26" ht="15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5"/>
    </row>
    <row r="222" spans="1:26" ht="15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5"/>
    </row>
    <row r="223" spans="1:26" ht="15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5"/>
    </row>
    <row r="224" spans="1:26" ht="15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5"/>
    </row>
    <row r="225" spans="1:26" ht="15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5"/>
    </row>
    <row r="226" spans="1:26" ht="15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5"/>
    </row>
    <row r="227" spans="1:26" ht="15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5"/>
    </row>
    <row r="228" spans="1:26" ht="15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5"/>
    </row>
    <row r="229" spans="1:26" ht="15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5"/>
    </row>
    <row r="230" spans="1:26" ht="15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5"/>
    </row>
    <row r="231" spans="1:26" ht="15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5"/>
    </row>
    <row r="232" spans="1:26" ht="15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5"/>
    </row>
    <row r="233" spans="1:26" ht="15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5"/>
    </row>
    <row r="234" spans="1:26" ht="15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5"/>
    </row>
    <row r="235" spans="1:26" ht="15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5"/>
    </row>
    <row r="236" spans="1:26" ht="15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5"/>
    </row>
    <row r="237" spans="1:26" ht="15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5"/>
    </row>
    <row r="238" spans="1:26" ht="15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5"/>
    </row>
    <row r="239" spans="1:26" ht="15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5"/>
    </row>
    <row r="240" spans="1:26" ht="15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5"/>
    </row>
    <row r="241" spans="1:26" ht="15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5"/>
    </row>
    <row r="242" spans="1:26" ht="15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5"/>
    </row>
    <row r="243" spans="1:26" ht="15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5"/>
    </row>
    <row r="244" spans="1:26" ht="15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5"/>
    </row>
    <row r="245" spans="1:26" ht="15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5"/>
    </row>
    <row r="246" spans="1:26" ht="15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5"/>
    </row>
    <row r="247" spans="1:26" ht="15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5"/>
    </row>
    <row r="248" spans="1:26" ht="15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5"/>
    </row>
    <row r="249" spans="1:26" ht="15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5"/>
    </row>
    <row r="250" spans="1:26" ht="15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5"/>
    </row>
    <row r="251" spans="1:26" ht="15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5"/>
    </row>
    <row r="252" spans="1:26" ht="15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5"/>
    </row>
    <row r="253" spans="1:26" ht="15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5"/>
    </row>
    <row r="254" spans="1:26" ht="15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5"/>
    </row>
    <row r="255" spans="1:26" ht="15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5"/>
    </row>
    <row r="256" spans="1:26" ht="15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5"/>
    </row>
    <row r="257" spans="1:26" ht="15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5"/>
    </row>
    <row r="258" spans="1:26" ht="15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5"/>
    </row>
    <row r="259" spans="1:26" ht="15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5"/>
    </row>
    <row r="260" spans="1:26" ht="15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5"/>
    </row>
    <row r="261" spans="1:26" ht="15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5"/>
    </row>
    <row r="262" spans="1:26" ht="15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5"/>
    </row>
    <row r="263" spans="1:26" ht="15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5"/>
    </row>
    <row r="264" spans="1:26" ht="15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5"/>
    </row>
    <row r="265" spans="1:26" ht="15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5"/>
    </row>
    <row r="266" spans="1:26" ht="15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5"/>
    </row>
    <row r="267" spans="1:26" ht="15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5"/>
    </row>
    <row r="268" spans="1:26" ht="15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5"/>
    </row>
    <row r="269" spans="1:26" ht="15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5"/>
    </row>
    <row r="270" spans="1:26" ht="15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5"/>
    </row>
    <row r="271" spans="1:26" ht="15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5"/>
    </row>
    <row r="272" spans="1:26" ht="15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5"/>
    </row>
    <row r="273" spans="1:26" ht="15.75" customHeight="1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2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2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2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2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2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2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2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2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2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2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2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2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2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2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2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2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2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2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2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2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2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2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2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2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2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2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2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2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2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2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2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2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2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2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2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2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2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2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2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2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2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2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2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2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2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2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2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2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2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2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2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2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2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2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2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2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2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2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2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2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2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2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2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2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2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2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2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2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2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2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2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2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2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2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2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2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2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2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2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2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2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2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2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2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2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2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2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2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2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2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2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2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2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2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2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2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2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2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2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2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2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2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2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2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2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2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2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2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2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2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2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2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2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2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2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2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2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2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2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2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2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2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2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2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2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2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2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2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2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2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2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2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2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2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2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2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2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2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2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2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2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2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2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2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2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2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2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2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2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2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2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2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2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2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2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2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2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2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2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2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2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2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2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2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2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2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2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2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2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2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2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2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2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2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2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2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2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2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2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2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2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2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2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2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2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2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2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2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2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2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2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2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2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2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2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2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2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2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2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2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2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2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2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2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2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2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2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2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2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2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2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2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2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2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2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2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 x14ac:dyDescent="0.2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 x14ac:dyDescent="0.2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 x14ac:dyDescent="0.2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 x14ac:dyDescent="0.2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 x14ac:dyDescent="0.2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 x14ac:dyDescent="0.2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 x14ac:dyDescent="0.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 x14ac:dyDescent="0.2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 x14ac:dyDescent="0.2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 x14ac:dyDescent="0.2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 x14ac:dyDescent="0.2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 x14ac:dyDescent="0.2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 x14ac:dyDescent="0.2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 x14ac:dyDescent="0.2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 x14ac:dyDescent="0.2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 x14ac:dyDescent="0.2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 x14ac:dyDescent="0.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 x14ac:dyDescent="0.2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 x14ac:dyDescent="0.2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 x14ac:dyDescent="0.2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 x14ac:dyDescent="0.2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75" customHeight="1" x14ac:dyDescent="0.2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75" customHeight="1" x14ac:dyDescent="0.2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.75" customHeight="1" x14ac:dyDescent="0.2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5.75" customHeight="1" x14ac:dyDescent="0.2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40">
    <mergeCell ref="B70:E70"/>
    <mergeCell ref="A72:C72"/>
    <mergeCell ref="A50:B50"/>
    <mergeCell ref="E50:F50"/>
    <mergeCell ref="A51:B51"/>
    <mergeCell ref="A52:B52"/>
    <mergeCell ref="A53:B53"/>
    <mergeCell ref="A54:B54"/>
    <mergeCell ref="A56:B56"/>
    <mergeCell ref="A47:B47"/>
    <mergeCell ref="A49:B49"/>
    <mergeCell ref="C54:C57"/>
    <mergeCell ref="B61:D62"/>
    <mergeCell ref="B69:D69"/>
    <mergeCell ref="A35:C35"/>
    <mergeCell ref="A37:C37"/>
    <mergeCell ref="A42:B42"/>
    <mergeCell ref="A43:E43"/>
    <mergeCell ref="A46:B46"/>
    <mergeCell ref="E46:F46"/>
    <mergeCell ref="A27:C27"/>
    <mergeCell ref="A29:B29"/>
    <mergeCell ref="C29:D29"/>
    <mergeCell ref="A31:D31"/>
    <mergeCell ref="A33:C33"/>
    <mergeCell ref="D15:E15"/>
    <mergeCell ref="A19:C19"/>
    <mergeCell ref="A21:D21"/>
    <mergeCell ref="A23:B23"/>
    <mergeCell ref="A25:B25"/>
    <mergeCell ref="G8:H8"/>
    <mergeCell ref="A12:C12"/>
    <mergeCell ref="D12:F12"/>
    <mergeCell ref="D13:E13"/>
    <mergeCell ref="D14:E14"/>
    <mergeCell ref="A1:D1"/>
    <mergeCell ref="I1:J5"/>
    <mergeCell ref="B2:E2"/>
    <mergeCell ref="G2:H4"/>
    <mergeCell ref="A3:B3"/>
  </mergeCells>
  <printOptions horizontalCentered="1" gridLines="1"/>
  <pageMargins left="0.7" right="0.7" top="0.75" bottom="0.75" header="0" footer="0"/>
  <pageSetup paperSize="9" pageOrder="overThenDown" orientation="portrait" cellComments="atEnd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200-000000000000}">
          <x14:formula1>
            <xm:f>'Ark 2'!$A$4:$A$7</xm:f>
          </x14:formula1>
          <xm:sqref>A9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1000"/>
  <sheetViews>
    <sheetView workbookViewId="0"/>
  </sheetViews>
  <sheetFormatPr baseColWidth="10" defaultColWidth="12.5703125" defaultRowHeight="15" customHeight="1" x14ac:dyDescent="0.2"/>
  <cols>
    <col min="1" max="6" width="12.5703125" customWidth="1"/>
  </cols>
  <sheetData>
    <row r="1" spans="1:26" ht="15.75" customHeight="1" x14ac:dyDescent="0.25">
      <c r="A1" s="87" t="s">
        <v>123</v>
      </c>
      <c r="B1" s="88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spans="1:26" ht="15.75" customHeight="1" x14ac:dyDescent="0.25">
      <c r="A2" s="54" t="s">
        <v>101</v>
      </c>
      <c r="B2" s="54" t="s">
        <v>55</v>
      </c>
      <c r="C2" s="54" t="s">
        <v>124</v>
      </c>
      <c r="D2" s="54" t="s">
        <v>102</v>
      </c>
      <c r="E2" s="54" t="s">
        <v>125</v>
      </c>
      <c r="F2" s="54" t="s">
        <v>126</v>
      </c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</row>
    <row r="3" spans="1:26" ht="15.75" customHeight="1" x14ac:dyDescent="0.25">
      <c r="A3" s="56">
        <v>0</v>
      </c>
      <c r="B3" s="56">
        <v>0</v>
      </c>
      <c r="C3" s="56">
        <v>0</v>
      </c>
      <c r="D3" s="56">
        <v>0</v>
      </c>
      <c r="E3" s="56">
        <v>0</v>
      </c>
      <c r="F3" s="56">
        <v>0</v>
      </c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</row>
    <row r="4" spans="1:26" ht="15.75" customHeight="1" x14ac:dyDescent="0.25">
      <c r="A4" s="56">
        <v>180</v>
      </c>
      <c r="B4" s="56">
        <v>3636</v>
      </c>
      <c r="C4" s="56">
        <v>11875175</v>
      </c>
      <c r="D4" s="57">
        <v>131946.4</v>
      </c>
      <c r="E4" s="56">
        <v>260</v>
      </c>
      <c r="F4" s="56">
        <v>9.4175999999999996E-2</v>
      </c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</row>
    <row r="5" spans="1:26" ht="15.75" customHeight="1" x14ac:dyDescent="0.25">
      <c r="A5" s="56">
        <v>240</v>
      </c>
      <c r="B5" s="56">
        <v>5522.3</v>
      </c>
      <c r="C5" s="56">
        <v>34472437</v>
      </c>
      <c r="D5" s="57">
        <v>287270.3</v>
      </c>
      <c r="E5" s="56">
        <v>260</v>
      </c>
      <c r="F5" s="56">
        <v>0.14715</v>
      </c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</row>
    <row r="6" spans="1:26" ht="15.75" customHeight="1" x14ac:dyDescent="0.25">
      <c r="A6" s="56">
        <v>300</v>
      </c>
      <c r="B6" s="56">
        <v>6281.8</v>
      </c>
      <c r="C6" s="56">
        <v>63593025</v>
      </c>
      <c r="D6" s="57">
        <v>423953.5</v>
      </c>
      <c r="E6" s="56">
        <v>260</v>
      </c>
      <c r="F6" s="56">
        <v>0.16677</v>
      </c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</row>
    <row r="7" spans="1:26" ht="15.75" customHeight="1" x14ac:dyDescent="0.25">
      <c r="A7" s="55">
        <v>400</v>
      </c>
      <c r="B7" s="56">
        <v>8306.66</v>
      </c>
      <c r="C7" s="56">
        <v>153190000</v>
      </c>
      <c r="D7" s="57">
        <v>7659500</v>
      </c>
      <c r="E7" s="55">
        <v>260</v>
      </c>
      <c r="F7" s="55">
        <v>0.2243</v>
      </c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</row>
    <row r="8" spans="1:26" ht="15.75" customHeight="1" x14ac:dyDescent="0.2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</row>
    <row r="9" spans="1:26" ht="15.75" customHeight="1" x14ac:dyDescent="0.2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</row>
    <row r="10" spans="1:26" ht="15.75" customHeight="1" x14ac:dyDescent="0.2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</row>
    <row r="11" spans="1:26" ht="15.75" customHeight="1" x14ac:dyDescent="0.2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</row>
    <row r="12" spans="1:26" ht="15.75" customHeight="1" x14ac:dyDescent="0.2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</row>
    <row r="13" spans="1:26" ht="15.75" customHeight="1" x14ac:dyDescent="0.2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</row>
    <row r="14" spans="1:26" ht="15.75" customHeight="1" x14ac:dyDescent="0.2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</row>
    <row r="15" spans="1:26" ht="15.75" customHeight="1" x14ac:dyDescent="0.2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</row>
    <row r="16" spans="1:26" ht="15.75" customHeight="1" x14ac:dyDescent="0.2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</row>
    <row r="17" spans="1:26" ht="15.75" customHeight="1" x14ac:dyDescent="0.2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</row>
    <row r="18" spans="1:26" ht="15.75" customHeight="1" x14ac:dyDescent="0.2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</row>
    <row r="19" spans="1:26" ht="15.75" customHeight="1" x14ac:dyDescent="0.2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</row>
    <row r="20" spans="1:26" ht="15.75" customHeight="1" x14ac:dyDescent="0.2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</row>
    <row r="21" spans="1:26" ht="15.75" customHeight="1" x14ac:dyDescent="0.2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</row>
    <row r="22" spans="1:26" ht="15.7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</row>
    <row r="23" spans="1:26" ht="15.75" customHeight="1" x14ac:dyDescent="0.2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</row>
    <row r="24" spans="1:26" ht="15.75" customHeight="1" x14ac:dyDescent="0.2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</row>
    <row r="25" spans="1:26" ht="15.75" customHeight="1" x14ac:dyDescent="0.2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</row>
    <row r="26" spans="1:26" ht="15.75" customHeight="1" x14ac:dyDescent="0.2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</row>
    <row r="27" spans="1:26" ht="15.75" customHeight="1" x14ac:dyDescent="0.2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</row>
    <row r="28" spans="1:26" ht="15.75" customHeight="1" x14ac:dyDescent="0.2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</row>
    <row r="29" spans="1:26" ht="15.75" customHeight="1" x14ac:dyDescent="0.2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</row>
    <row r="30" spans="1:26" ht="15.75" customHeight="1" x14ac:dyDescent="0.2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</row>
    <row r="31" spans="1:26" ht="15.75" customHeight="1" x14ac:dyDescent="0.2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</row>
    <row r="32" spans="1:26" ht="15.75" customHeight="1" x14ac:dyDescent="0.2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</row>
    <row r="33" spans="1:26" ht="15.75" customHeight="1" x14ac:dyDescent="0.2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</row>
    <row r="34" spans="1:26" ht="15.75" customHeight="1" x14ac:dyDescent="0.2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</row>
    <row r="35" spans="1:26" ht="15.75" customHeight="1" x14ac:dyDescent="0.2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</row>
    <row r="36" spans="1:26" ht="15.75" customHeight="1" x14ac:dyDescent="0.2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</row>
    <row r="37" spans="1:26" ht="15.75" customHeight="1" x14ac:dyDescent="0.2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</row>
    <row r="38" spans="1:26" ht="15.75" customHeight="1" x14ac:dyDescent="0.2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</row>
    <row r="39" spans="1:26" ht="15.75" customHeight="1" x14ac:dyDescent="0.2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</row>
    <row r="40" spans="1:26" ht="15.75" customHeight="1" x14ac:dyDescent="0.2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</row>
    <row r="41" spans="1:26" ht="15.75" customHeight="1" x14ac:dyDescent="0.2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</row>
    <row r="42" spans="1:26" ht="15.75" customHeight="1" x14ac:dyDescent="0.2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</row>
    <row r="43" spans="1:26" ht="15.75" customHeight="1" x14ac:dyDescent="0.2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</row>
    <row r="44" spans="1:26" ht="15.75" customHeight="1" x14ac:dyDescent="0.2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</row>
    <row r="45" spans="1:26" ht="15.75" customHeight="1" x14ac:dyDescent="0.2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</row>
    <row r="46" spans="1:26" ht="15.75" customHeight="1" x14ac:dyDescent="0.2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</row>
    <row r="47" spans="1:26" ht="15.75" customHeight="1" x14ac:dyDescent="0.2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</row>
    <row r="48" spans="1:26" ht="15.75" customHeight="1" x14ac:dyDescent="0.2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</row>
    <row r="49" spans="1:26" ht="15.75" customHeight="1" x14ac:dyDescent="0.2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</row>
    <row r="50" spans="1:26" ht="15.75" customHeight="1" x14ac:dyDescent="0.2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</row>
    <row r="51" spans="1:26" ht="15.75" customHeight="1" x14ac:dyDescent="0.2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</row>
    <row r="52" spans="1:26" ht="15.75" customHeight="1" x14ac:dyDescent="0.2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</row>
    <row r="53" spans="1:26" ht="15.75" customHeight="1" x14ac:dyDescent="0.2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</row>
    <row r="54" spans="1:26" ht="15.75" customHeight="1" x14ac:dyDescent="0.2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</row>
    <row r="55" spans="1:26" ht="15.75" customHeight="1" x14ac:dyDescent="0.2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</row>
    <row r="56" spans="1:26" ht="15.75" customHeight="1" x14ac:dyDescent="0.2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</row>
    <row r="57" spans="1:26" ht="15.75" customHeight="1" x14ac:dyDescent="0.2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</row>
    <row r="58" spans="1:26" ht="15.75" customHeight="1" x14ac:dyDescent="0.2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</row>
    <row r="59" spans="1:26" ht="15.75" customHeight="1" x14ac:dyDescent="0.2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</row>
    <row r="60" spans="1:26" ht="15.75" customHeight="1" x14ac:dyDescent="0.2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</row>
    <row r="61" spans="1:26" ht="15.75" customHeight="1" x14ac:dyDescent="0.2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</row>
    <row r="62" spans="1:26" ht="15.75" customHeight="1" x14ac:dyDescent="0.2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</row>
    <row r="63" spans="1:26" ht="15.75" customHeight="1" x14ac:dyDescent="0.2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</row>
    <row r="64" spans="1:26" ht="15.75" customHeight="1" x14ac:dyDescent="0.2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</row>
    <row r="65" spans="1:26" ht="15.75" customHeight="1" x14ac:dyDescent="0.2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</row>
    <row r="66" spans="1:26" ht="15.75" customHeight="1" x14ac:dyDescent="0.2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</row>
    <row r="67" spans="1:26" ht="15.75" customHeight="1" x14ac:dyDescent="0.2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</row>
    <row r="68" spans="1:26" ht="15.75" customHeight="1" x14ac:dyDescent="0.2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</row>
    <row r="69" spans="1:26" ht="15.75" customHeight="1" x14ac:dyDescent="0.2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</row>
    <row r="70" spans="1:26" ht="15.75" customHeight="1" x14ac:dyDescent="0.2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</row>
    <row r="71" spans="1:26" ht="15.75" customHeight="1" x14ac:dyDescent="0.2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</row>
    <row r="72" spans="1:26" ht="15.75" customHeight="1" x14ac:dyDescent="0.2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</row>
    <row r="73" spans="1:26" ht="15.75" customHeight="1" x14ac:dyDescent="0.2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</row>
    <row r="74" spans="1:26" ht="15.75" customHeight="1" x14ac:dyDescent="0.2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</row>
    <row r="75" spans="1:26" ht="15.75" customHeight="1" x14ac:dyDescent="0.2">
      <c r="A75" s="55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</row>
    <row r="76" spans="1:26" ht="15.75" customHeight="1" x14ac:dyDescent="0.2">
      <c r="A76" s="55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</row>
    <row r="77" spans="1:26" ht="15.75" customHeight="1" x14ac:dyDescent="0.2">
      <c r="A77" s="55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</row>
    <row r="78" spans="1:26" ht="15.75" customHeight="1" x14ac:dyDescent="0.2">
      <c r="A78" s="55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</row>
    <row r="79" spans="1:26" ht="15.75" customHeight="1" x14ac:dyDescent="0.2">
      <c r="A79" s="55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</row>
    <row r="80" spans="1:26" ht="15.75" customHeight="1" x14ac:dyDescent="0.2">
      <c r="A80" s="55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</row>
    <row r="81" spans="1:26" ht="15.75" customHeight="1" x14ac:dyDescent="0.2">
      <c r="A81" s="55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</row>
    <row r="82" spans="1:26" ht="15.75" customHeight="1" x14ac:dyDescent="0.2">
      <c r="A82" s="55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</row>
    <row r="83" spans="1:26" ht="15.75" customHeight="1" x14ac:dyDescent="0.2">
      <c r="A83" s="55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</row>
    <row r="84" spans="1:26" ht="15.75" customHeight="1" x14ac:dyDescent="0.2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</row>
    <row r="85" spans="1:26" ht="15.75" customHeight="1" x14ac:dyDescent="0.2">
      <c r="A85" s="55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</row>
    <row r="86" spans="1:26" ht="15.75" customHeight="1" x14ac:dyDescent="0.2">
      <c r="A86" s="55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</row>
    <row r="87" spans="1:26" ht="15.75" customHeight="1" x14ac:dyDescent="0.2">
      <c r="A87" s="55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</row>
    <row r="88" spans="1:26" ht="15.75" customHeight="1" x14ac:dyDescent="0.2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</row>
    <row r="89" spans="1:26" ht="15.75" customHeight="1" x14ac:dyDescent="0.2">
      <c r="A89" s="55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</row>
    <row r="90" spans="1:26" ht="15.75" customHeight="1" x14ac:dyDescent="0.2">
      <c r="A90" s="55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</row>
    <row r="91" spans="1:26" ht="15.75" customHeight="1" x14ac:dyDescent="0.2">
      <c r="A91" s="55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</row>
    <row r="92" spans="1:26" ht="15.75" customHeight="1" x14ac:dyDescent="0.2">
      <c r="A92" s="55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</row>
    <row r="93" spans="1:26" ht="15.75" customHeight="1" x14ac:dyDescent="0.2">
      <c r="A93" s="55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</row>
    <row r="94" spans="1:26" ht="15.75" customHeight="1" x14ac:dyDescent="0.2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</row>
    <row r="95" spans="1:26" ht="15.75" customHeight="1" x14ac:dyDescent="0.2">
      <c r="A95" s="55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</row>
    <row r="96" spans="1:26" ht="15.75" customHeight="1" x14ac:dyDescent="0.2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</row>
    <row r="97" spans="1:26" ht="15.75" customHeight="1" x14ac:dyDescent="0.2">
      <c r="A97" s="55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</row>
    <row r="98" spans="1:26" ht="15.75" customHeight="1" x14ac:dyDescent="0.2">
      <c r="A98" s="55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</row>
    <row r="99" spans="1:26" ht="15.75" customHeight="1" x14ac:dyDescent="0.2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</row>
    <row r="100" spans="1:26" ht="15.75" customHeight="1" x14ac:dyDescent="0.2">
      <c r="A100" s="55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</row>
    <row r="101" spans="1:26" ht="15.75" customHeight="1" x14ac:dyDescent="0.2">
      <c r="A101" s="55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</row>
    <row r="102" spans="1:26" ht="15.75" customHeight="1" x14ac:dyDescent="0.2">
      <c r="A102" s="55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</row>
    <row r="103" spans="1:26" ht="15.75" customHeight="1" x14ac:dyDescent="0.2">
      <c r="A103" s="55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</row>
    <row r="104" spans="1:26" ht="15.75" customHeight="1" x14ac:dyDescent="0.2">
      <c r="A104" s="55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</row>
    <row r="105" spans="1:26" ht="15.75" customHeight="1" x14ac:dyDescent="0.2">
      <c r="A105" s="55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</row>
    <row r="106" spans="1:26" ht="15.75" customHeight="1" x14ac:dyDescent="0.2">
      <c r="A106" s="55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</row>
    <row r="107" spans="1:26" ht="15.75" customHeight="1" x14ac:dyDescent="0.2">
      <c r="A107" s="55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</row>
    <row r="108" spans="1:26" ht="15.75" customHeight="1" x14ac:dyDescent="0.2">
      <c r="A108" s="55"/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</row>
    <row r="109" spans="1:26" ht="15.75" customHeight="1" x14ac:dyDescent="0.2">
      <c r="A109" s="55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</row>
    <row r="110" spans="1:26" ht="15.75" customHeight="1" x14ac:dyDescent="0.2">
      <c r="A110" s="55"/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</row>
    <row r="111" spans="1:26" ht="15.75" customHeight="1" x14ac:dyDescent="0.2">
      <c r="A111" s="55"/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</row>
    <row r="112" spans="1:26" ht="15.75" customHeight="1" x14ac:dyDescent="0.2">
      <c r="A112" s="55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</row>
    <row r="113" spans="1:26" ht="15.75" customHeight="1" x14ac:dyDescent="0.2">
      <c r="A113" s="55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</row>
    <row r="114" spans="1:26" ht="15.75" customHeight="1" x14ac:dyDescent="0.2">
      <c r="A114" s="55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</row>
    <row r="115" spans="1:26" ht="15.75" customHeight="1" x14ac:dyDescent="0.2">
      <c r="A115" s="55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</row>
    <row r="116" spans="1:26" ht="15.75" customHeight="1" x14ac:dyDescent="0.2">
      <c r="A116" s="55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</row>
    <row r="117" spans="1:26" ht="15.75" customHeight="1" x14ac:dyDescent="0.2">
      <c r="A117" s="55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</row>
    <row r="118" spans="1:26" ht="15.75" customHeight="1" x14ac:dyDescent="0.2">
      <c r="A118" s="55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</row>
    <row r="119" spans="1:26" ht="15.75" customHeight="1" x14ac:dyDescent="0.2">
      <c r="A119" s="55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</row>
    <row r="120" spans="1:26" ht="15.75" customHeight="1" x14ac:dyDescent="0.2">
      <c r="A120" s="55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</row>
    <row r="121" spans="1:26" ht="15.75" customHeight="1" x14ac:dyDescent="0.2">
      <c r="A121" s="55"/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</row>
    <row r="122" spans="1:26" ht="15.75" customHeight="1" x14ac:dyDescent="0.2">
      <c r="A122" s="55"/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</row>
    <row r="123" spans="1:26" ht="15.75" customHeight="1" x14ac:dyDescent="0.2">
      <c r="A123" s="55"/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</row>
    <row r="124" spans="1:26" ht="15.75" customHeight="1" x14ac:dyDescent="0.2">
      <c r="A124" s="55"/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</row>
    <row r="125" spans="1:26" ht="15.75" customHeight="1" x14ac:dyDescent="0.2">
      <c r="A125" s="55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</row>
    <row r="126" spans="1:26" ht="15.75" customHeight="1" x14ac:dyDescent="0.2">
      <c r="A126" s="55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</row>
    <row r="127" spans="1:26" ht="15.75" customHeight="1" x14ac:dyDescent="0.2">
      <c r="A127" s="55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</row>
    <row r="128" spans="1:26" ht="15.75" customHeight="1" x14ac:dyDescent="0.2">
      <c r="A128" s="55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</row>
    <row r="129" spans="1:26" ht="15.75" customHeight="1" x14ac:dyDescent="0.2">
      <c r="A129" s="55"/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</row>
    <row r="130" spans="1:26" ht="15.75" customHeight="1" x14ac:dyDescent="0.2">
      <c r="A130" s="55"/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</row>
    <row r="131" spans="1:26" ht="15.75" customHeight="1" x14ac:dyDescent="0.2">
      <c r="A131" s="55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</row>
    <row r="132" spans="1:26" ht="15.75" customHeight="1" x14ac:dyDescent="0.2">
      <c r="A132" s="55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</row>
    <row r="133" spans="1:26" ht="15.75" customHeight="1" x14ac:dyDescent="0.2">
      <c r="A133" s="55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</row>
    <row r="134" spans="1:26" ht="15.75" customHeight="1" x14ac:dyDescent="0.2">
      <c r="A134" s="55"/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</row>
    <row r="135" spans="1:26" ht="15.75" customHeight="1" x14ac:dyDescent="0.2">
      <c r="A135" s="55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</row>
    <row r="136" spans="1:26" ht="15.75" customHeight="1" x14ac:dyDescent="0.2">
      <c r="A136" s="55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</row>
    <row r="137" spans="1:26" ht="15.75" customHeight="1" x14ac:dyDescent="0.2">
      <c r="A137" s="55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</row>
    <row r="138" spans="1:26" ht="15.75" customHeight="1" x14ac:dyDescent="0.2">
      <c r="A138" s="55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</row>
    <row r="139" spans="1:26" ht="15.75" customHeight="1" x14ac:dyDescent="0.2">
      <c r="A139" s="55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</row>
    <row r="140" spans="1:26" ht="15.75" customHeight="1" x14ac:dyDescent="0.2">
      <c r="A140" s="55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</row>
    <row r="141" spans="1:26" ht="15.75" customHeight="1" x14ac:dyDescent="0.2">
      <c r="A141" s="55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</row>
    <row r="142" spans="1:26" ht="15.75" customHeight="1" x14ac:dyDescent="0.2">
      <c r="A142" s="55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</row>
    <row r="143" spans="1:26" ht="15.75" customHeight="1" x14ac:dyDescent="0.2">
      <c r="A143" s="55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</row>
    <row r="144" spans="1:26" ht="15.75" customHeight="1" x14ac:dyDescent="0.2">
      <c r="A144" s="55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</row>
    <row r="145" spans="1:26" ht="15.75" customHeight="1" x14ac:dyDescent="0.2">
      <c r="A145" s="55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</row>
    <row r="146" spans="1:26" ht="15.75" customHeight="1" x14ac:dyDescent="0.2">
      <c r="A146" s="55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</row>
    <row r="147" spans="1:26" ht="15.75" customHeight="1" x14ac:dyDescent="0.2">
      <c r="A147" s="55"/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</row>
    <row r="148" spans="1:26" ht="15.75" customHeight="1" x14ac:dyDescent="0.2">
      <c r="A148" s="55"/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</row>
    <row r="149" spans="1:26" ht="15.75" customHeight="1" x14ac:dyDescent="0.2">
      <c r="A149" s="55"/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</row>
    <row r="150" spans="1:26" ht="15.75" customHeight="1" x14ac:dyDescent="0.2">
      <c r="A150" s="55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</row>
    <row r="151" spans="1:26" ht="15.75" customHeight="1" x14ac:dyDescent="0.2">
      <c r="A151" s="55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</row>
    <row r="152" spans="1:26" ht="15.75" customHeight="1" x14ac:dyDescent="0.2">
      <c r="A152" s="55"/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</row>
    <row r="153" spans="1:26" ht="15.75" customHeight="1" x14ac:dyDescent="0.2">
      <c r="A153" s="55"/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</row>
    <row r="154" spans="1:26" ht="15.75" customHeight="1" x14ac:dyDescent="0.2">
      <c r="A154" s="55"/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</row>
    <row r="155" spans="1:26" ht="15.75" customHeight="1" x14ac:dyDescent="0.2">
      <c r="A155" s="55"/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</row>
    <row r="156" spans="1:26" ht="15.75" customHeight="1" x14ac:dyDescent="0.2">
      <c r="A156" s="55"/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</row>
    <row r="157" spans="1:26" ht="15.75" customHeight="1" x14ac:dyDescent="0.2">
      <c r="A157" s="55"/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</row>
    <row r="158" spans="1:26" ht="15.75" customHeight="1" x14ac:dyDescent="0.2">
      <c r="A158" s="55"/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</row>
    <row r="159" spans="1:26" ht="15.75" customHeight="1" x14ac:dyDescent="0.2">
      <c r="A159" s="55"/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</row>
    <row r="160" spans="1:26" ht="15.75" customHeight="1" x14ac:dyDescent="0.2">
      <c r="A160" s="55"/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</row>
    <row r="161" spans="1:26" ht="15.75" customHeight="1" x14ac:dyDescent="0.2">
      <c r="A161" s="55"/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</row>
    <row r="162" spans="1:26" ht="15.75" customHeight="1" x14ac:dyDescent="0.2">
      <c r="A162" s="55"/>
      <c r="B162" s="55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</row>
    <row r="163" spans="1:26" ht="15.75" customHeight="1" x14ac:dyDescent="0.2">
      <c r="A163" s="55"/>
      <c r="B163" s="55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</row>
    <row r="164" spans="1:26" ht="15.75" customHeight="1" x14ac:dyDescent="0.2">
      <c r="A164" s="55"/>
      <c r="B164" s="55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</row>
    <row r="165" spans="1:26" ht="15.75" customHeight="1" x14ac:dyDescent="0.2">
      <c r="A165" s="55"/>
      <c r="B165" s="55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</row>
    <row r="166" spans="1:26" ht="15.75" customHeight="1" x14ac:dyDescent="0.2">
      <c r="A166" s="55"/>
      <c r="B166" s="55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</row>
    <row r="167" spans="1:26" ht="15.75" customHeight="1" x14ac:dyDescent="0.2">
      <c r="A167" s="55"/>
      <c r="B167" s="55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</row>
    <row r="168" spans="1:26" ht="15.75" customHeight="1" x14ac:dyDescent="0.2">
      <c r="A168" s="55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</row>
    <row r="169" spans="1:26" ht="15.75" customHeight="1" x14ac:dyDescent="0.2">
      <c r="A169" s="55"/>
      <c r="B169" s="55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</row>
    <row r="170" spans="1:26" ht="15.75" customHeight="1" x14ac:dyDescent="0.2">
      <c r="A170" s="55"/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</row>
    <row r="171" spans="1:26" ht="15.75" customHeight="1" x14ac:dyDescent="0.2">
      <c r="A171" s="55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</row>
    <row r="172" spans="1:26" ht="15.75" customHeight="1" x14ac:dyDescent="0.2">
      <c r="A172" s="55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</row>
    <row r="173" spans="1:26" ht="15.75" customHeight="1" x14ac:dyDescent="0.2">
      <c r="A173" s="55"/>
      <c r="B173" s="55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</row>
    <row r="174" spans="1:26" ht="15.75" customHeight="1" x14ac:dyDescent="0.2">
      <c r="A174" s="55"/>
      <c r="B174" s="55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</row>
    <row r="175" spans="1:26" ht="15.75" customHeight="1" x14ac:dyDescent="0.2">
      <c r="A175" s="55"/>
      <c r="B175" s="55"/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</row>
    <row r="176" spans="1:26" ht="15.75" customHeight="1" x14ac:dyDescent="0.2">
      <c r="A176" s="55"/>
      <c r="B176" s="55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</row>
    <row r="177" spans="1:26" ht="15.75" customHeight="1" x14ac:dyDescent="0.2">
      <c r="A177" s="55"/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</row>
    <row r="178" spans="1:26" ht="15.75" customHeight="1" x14ac:dyDescent="0.2">
      <c r="A178" s="55"/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</row>
    <row r="179" spans="1:26" ht="15.75" customHeight="1" x14ac:dyDescent="0.2">
      <c r="A179" s="55"/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</row>
    <row r="180" spans="1:26" ht="15.75" customHeight="1" x14ac:dyDescent="0.2">
      <c r="A180" s="55"/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</row>
    <row r="181" spans="1:26" ht="15.75" customHeight="1" x14ac:dyDescent="0.2">
      <c r="A181" s="55"/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</row>
    <row r="182" spans="1:26" ht="15.75" customHeight="1" x14ac:dyDescent="0.2">
      <c r="A182" s="55"/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</row>
    <row r="183" spans="1:26" ht="15.75" customHeight="1" x14ac:dyDescent="0.2">
      <c r="A183" s="55"/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</row>
    <row r="184" spans="1:26" ht="15.75" customHeight="1" x14ac:dyDescent="0.2">
      <c r="A184" s="55"/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</row>
    <row r="185" spans="1:26" ht="15.75" customHeight="1" x14ac:dyDescent="0.2">
      <c r="A185" s="55"/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</row>
    <row r="186" spans="1:26" ht="15.75" customHeight="1" x14ac:dyDescent="0.2">
      <c r="A186" s="55"/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</row>
    <row r="187" spans="1:26" ht="15.75" customHeight="1" x14ac:dyDescent="0.2">
      <c r="A187" s="55"/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</row>
    <row r="188" spans="1:26" ht="15.75" customHeight="1" x14ac:dyDescent="0.2">
      <c r="A188" s="55"/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</row>
    <row r="189" spans="1:26" ht="15.75" customHeight="1" x14ac:dyDescent="0.2">
      <c r="A189" s="55"/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</row>
    <row r="190" spans="1:26" ht="15.75" customHeight="1" x14ac:dyDescent="0.2">
      <c r="A190" s="55"/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</row>
    <row r="191" spans="1:26" ht="15.75" customHeight="1" x14ac:dyDescent="0.2">
      <c r="A191" s="55"/>
      <c r="B191" s="55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</row>
    <row r="192" spans="1:26" ht="15.75" customHeight="1" x14ac:dyDescent="0.2">
      <c r="A192" s="55"/>
      <c r="B192" s="55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</row>
    <row r="193" spans="1:26" ht="15.75" customHeight="1" x14ac:dyDescent="0.2">
      <c r="A193" s="55"/>
      <c r="B193" s="55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</row>
    <row r="194" spans="1:26" ht="15.75" customHeight="1" x14ac:dyDescent="0.2">
      <c r="A194" s="55"/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</row>
    <row r="195" spans="1:26" ht="15.75" customHeight="1" x14ac:dyDescent="0.2">
      <c r="A195" s="55"/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</row>
    <row r="196" spans="1:26" ht="15.75" customHeight="1" x14ac:dyDescent="0.2">
      <c r="A196" s="55"/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</row>
    <row r="197" spans="1:26" ht="15.75" customHeight="1" x14ac:dyDescent="0.2">
      <c r="A197" s="55"/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</row>
    <row r="198" spans="1:26" ht="15.75" customHeight="1" x14ac:dyDescent="0.2">
      <c r="A198" s="55"/>
      <c r="B198" s="55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</row>
    <row r="199" spans="1:26" ht="15.75" customHeight="1" x14ac:dyDescent="0.2">
      <c r="A199" s="55"/>
      <c r="B199" s="55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</row>
    <row r="200" spans="1:26" ht="15.75" customHeight="1" x14ac:dyDescent="0.2">
      <c r="A200" s="55"/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</row>
    <row r="201" spans="1:26" ht="15.75" customHeight="1" x14ac:dyDescent="0.2">
      <c r="A201" s="55"/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</row>
    <row r="202" spans="1:26" ht="15.75" customHeight="1" x14ac:dyDescent="0.2">
      <c r="A202" s="55"/>
      <c r="B202" s="55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</row>
    <row r="203" spans="1:26" ht="15.75" customHeight="1" x14ac:dyDescent="0.2">
      <c r="A203" s="55"/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</row>
    <row r="204" spans="1:26" ht="15.75" customHeight="1" x14ac:dyDescent="0.2">
      <c r="A204" s="55"/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</row>
    <row r="205" spans="1:26" ht="15.75" customHeight="1" x14ac:dyDescent="0.2">
      <c r="A205" s="55"/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</row>
    <row r="206" spans="1:26" ht="15.75" customHeight="1" x14ac:dyDescent="0.2">
      <c r="A206" s="55"/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</row>
    <row r="207" spans="1:26" ht="15.75" customHeight="1" x14ac:dyDescent="0.2">
      <c r="A207" s="55"/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</row>
    <row r="208" spans="1:26" ht="15.75" customHeight="1" x14ac:dyDescent="0.2">
      <c r="A208" s="55"/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</row>
    <row r="209" spans="1:26" ht="15.75" customHeight="1" x14ac:dyDescent="0.2">
      <c r="A209" s="55"/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</row>
    <row r="210" spans="1:26" ht="15.75" customHeight="1" x14ac:dyDescent="0.2">
      <c r="A210" s="55"/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</row>
    <row r="211" spans="1:26" ht="15.75" customHeight="1" x14ac:dyDescent="0.2">
      <c r="A211" s="55"/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</row>
    <row r="212" spans="1:26" ht="15.75" customHeight="1" x14ac:dyDescent="0.2">
      <c r="A212" s="55"/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</row>
    <row r="213" spans="1:26" ht="15.75" customHeight="1" x14ac:dyDescent="0.2">
      <c r="A213" s="55"/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</row>
    <row r="214" spans="1:26" ht="15.75" customHeight="1" x14ac:dyDescent="0.2">
      <c r="A214" s="55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</row>
    <row r="215" spans="1:26" ht="15.75" customHeight="1" x14ac:dyDescent="0.2">
      <c r="A215" s="55"/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</row>
    <row r="216" spans="1:26" ht="15.75" customHeight="1" x14ac:dyDescent="0.2">
      <c r="A216" s="55"/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</row>
    <row r="217" spans="1:26" ht="15.75" customHeight="1" x14ac:dyDescent="0.2">
      <c r="A217" s="55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</row>
    <row r="218" spans="1:26" ht="15.75" customHeight="1" x14ac:dyDescent="0.2">
      <c r="A218" s="55"/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</row>
    <row r="219" spans="1:26" ht="15.75" customHeight="1" x14ac:dyDescent="0.2">
      <c r="A219" s="55"/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</row>
    <row r="220" spans="1:26" ht="15.75" customHeight="1" x14ac:dyDescent="0.2">
      <c r="A220" s="55"/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</row>
    <row r="221" spans="1:26" ht="15.75" customHeight="1" x14ac:dyDescent="0.2"/>
    <row r="222" spans="1:26" ht="15.75" customHeight="1" x14ac:dyDescent="0.2"/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1:B1"/>
  </mergeCells>
  <pageMargins left="0.7" right="0.7" top="0.75" bottom="0.75" header="0" footer="0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5809F304A4DC34BABB20E383F1D1405" ma:contentTypeVersion="22" ma:contentTypeDescription="Opprett et nytt dokument." ma:contentTypeScope="" ma:versionID="7ebef4807e02dbe7e041e32a0a894d39">
  <xsd:schema xmlns:xsd="http://www.w3.org/2001/XMLSchema" xmlns:xs="http://www.w3.org/2001/XMLSchema" xmlns:p="http://schemas.microsoft.com/office/2006/metadata/properties" xmlns:ns2="10ea5cd8-bec0-4b36-bde0-c3d6e7205782" xmlns:ns3="1c0a1539-75ab-4b79-9b66-349af4918a26" targetNamespace="http://schemas.microsoft.com/office/2006/metadata/properties" ma:root="true" ma:fieldsID="62fd8979e339f98254e0739afc93c49f" ns2:_="" ns3:_="">
    <xsd:import namespace="10ea5cd8-bec0-4b36-bde0-c3d6e7205782"/>
    <xsd:import namespace="1c0a1539-75ab-4b79-9b66-349af4918a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ea5cd8-bec0-4b36-bde0-c3d6e72057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768bbd12-ad27-4966-b337-de47c8c750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a1539-75ab-4b79-9b66-349af4918a26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b5f2a668-de94-4157-b60f-d851decde5dc}" ma:internalName="TaxCatchAll" ma:showField="CatchAllData" ma:web="1c0a1539-75ab-4b79-9b66-349af4918a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c0a1539-75ab-4b79-9b66-349af4918a26" xsi:nil="true"/>
    <lcf76f155ced4ddcb4097134ff3c332f xmlns="10ea5cd8-bec0-4b36-bde0-c3d6e720578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EF18FD0-3D85-4278-8990-91F0D106A010}"/>
</file>

<file path=customXml/itemProps2.xml><?xml version="1.0" encoding="utf-8"?>
<ds:datastoreItem xmlns:ds="http://schemas.openxmlformats.org/officeDocument/2006/customXml" ds:itemID="{547EA2F3-2655-4D33-94B2-C57DA8851E6D}"/>
</file>

<file path=customXml/itemProps3.xml><?xml version="1.0" encoding="utf-8"?>
<ds:datastoreItem xmlns:ds="http://schemas.openxmlformats.org/officeDocument/2006/customXml" ds:itemID="{F7744E02-0991-4595-AC34-52B23DA129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Vinkelmast - Bardun</vt:lpstr>
      <vt:lpstr>E-Bæremast</vt:lpstr>
      <vt:lpstr>Vinkelmast - Strever</vt:lpstr>
      <vt:lpstr>Ark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Erik Sørumshagen</dc:creator>
  <cp:lastModifiedBy>Jan Erik Sivesind Sørumshagen</cp:lastModifiedBy>
  <dcterms:created xsi:type="dcterms:W3CDTF">2025-03-03T07:24:19Z</dcterms:created>
  <dcterms:modified xsi:type="dcterms:W3CDTF">2025-03-03T07:24:19Z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0x01010055809F304A4DC34BABB20E383F1D1405</vt:lpwstr>
  </property>
</Properties>
</file>